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108" windowWidth="17508" windowHeight="8940" activeTab="0"/>
  </bookViews>
  <sheets>
    <sheet name="KÄYTTÖTAULU" sheetId="1" r:id="rId1"/>
    <sheet name="muut muuttujat" sheetId="2" state="hidden" r:id="rId2"/>
    <sheet name="amk,aikk, amm.vuosityö laskenta" sheetId="3" state="hidden" r:id="rId3"/>
    <sheet name="virheet" sheetId="4" state="hidden" r:id="rId4"/>
    <sheet name="laskenta" sheetId="5" state="hidden" r:id="rId5"/>
    <sheet name="palkat 1.8.2020" sheetId="6" state="hidden" r:id="rId6"/>
    <sheet name="Taul2" sheetId="7" state="hidden" r:id="rId7"/>
  </sheets>
  <definedNames/>
  <calcPr fullCalcOnLoad="1"/>
</workbook>
</file>

<file path=xl/comments1.xml><?xml version="1.0" encoding="utf-8"?>
<comments xmlns="http://schemas.openxmlformats.org/spreadsheetml/2006/main">
  <authors>
    <author>freunha</author>
    <author>ST</author>
  </authors>
  <commentList>
    <comment ref="I8" authorId="0">
      <text>
        <r>
          <rPr>
            <b/>
            <sz val="8"/>
            <rFont val="Tahoma"/>
            <family val="2"/>
          </rPr>
          <t>Huojentamaton opetusvelvollisuus, tuntia/viikko.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Epäpätevyysalennus</t>
        </r>
      </text>
    </comment>
    <comment ref="F6" authorId="0">
      <text>
        <r>
          <rPr>
            <b/>
            <sz val="8"/>
            <rFont val="Tahoma"/>
            <family val="2"/>
          </rPr>
          <t>"AVAINTES 13 § mukainen peruspalkka, joka on vähintään AVAINOTES:n palkkaliitteen suuruinen."</t>
        </r>
      </text>
    </comment>
    <comment ref="K13" authorId="0">
      <text>
        <r>
          <rPr>
            <b/>
            <sz val="8"/>
            <rFont val="Tahoma"/>
            <family val="2"/>
          </rPr>
          <t>Mitkä tahansa muut palkkatekijät, kuin henkilökohtainen vähimmäisperuspalkka, vuosisidonnainen lisä tai kohdissa 6 ja 7 ilmoitetut palkkiot.</t>
        </r>
      </text>
    </comment>
    <comment ref="I14" authorId="0">
      <text>
        <r>
          <rPr>
            <b/>
            <sz val="8"/>
            <rFont val="Tahoma"/>
            <family val="2"/>
          </rPr>
          <t>Koko lukuvuodeksi vahvistettujen ylituntien määrä viikossa (Amm.oppilaitokset Opetushenkilöstön yhteiset määräykset 12 § 1-4 kohdat)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Yksittäin maksettavien tuntien määrä kuukaudessa (Ammatilliset oppilaitokset Opetushenkilöstön yhteist määräykset 12 § kohdat 5-6 .)</t>
        </r>
      </text>
    </comment>
    <comment ref="B37" authorId="1">
      <text>
        <r>
          <rPr>
            <b/>
            <sz val="8"/>
            <rFont val="Tahoma"/>
            <family val="2"/>
          </rPr>
          <t>6-20 % (AMK 3 § 5 kohta)</t>
        </r>
      </text>
    </comment>
    <comment ref="F40" authorId="1">
      <text>
        <r>
          <rPr>
            <b/>
            <sz val="8"/>
            <rFont val="Tahoma"/>
            <family val="2"/>
          </rPr>
          <t xml:space="preserve">Mm. henkilökohtainen lisä (Yleinen osa II Luku 7 §), kielilisä (Yleinen osa II Luku 8 §), kielitaitolisä (Yleinen osa II Luku 9 §), luottamusmies- ja työsuojeluvaltuutetun korvaus (AvainTES 115 §).
</t>
        </r>
      </text>
    </comment>
    <comment ref="F42" authorId="1">
      <text>
        <r>
          <rPr>
            <b/>
            <sz val="8"/>
            <rFont val="Tahoma"/>
            <family val="2"/>
          </rPr>
          <t>Muut kuin kohdan 6 lisät. Ei kuitenkaan kohtaan 5 sisältyvää saatavuuslisää (8 §).</t>
        </r>
      </text>
    </comment>
    <comment ref="L29" authorId="1">
      <text>
        <r>
          <rPr>
            <b/>
            <sz val="8"/>
            <rFont val="Tahoma"/>
            <family val="2"/>
          </rPr>
          <t>AMK 4 §</t>
        </r>
      </text>
    </comment>
    <comment ref="L31" authorId="1">
      <text>
        <r>
          <rPr>
            <b/>
            <sz val="8"/>
            <rFont val="Tahoma"/>
            <family val="2"/>
          </rPr>
          <t>AMK 6 § 1 kohta</t>
        </r>
        <r>
          <rPr>
            <sz val="8"/>
            <rFont val="Tahoma"/>
            <family val="2"/>
          </rPr>
          <t xml:space="preserve">
</t>
        </r>
      </text>
    </comment>
    <comment ref="B48" authorId="1">
      <text>
        <r>
          <rPr>
            <b/>
            <sz val="8"/>
            <rFont val="Tahoma"/>
            <family val="2"/>
          </rPr>
          <t xml:space="preserve">Enintään 30 % (Amm. aikuisk. 3 § soveltamisohje)
</t>
        </r>
      </text>
    </comment>
    <comment ref="B55" authorId="1">
      <text>
        <r>
          <rPr>
            <b/>
            <sz val="8"/>
            <rFont val="Tahoma"/>
            <family val="2"/>
          </rPr>
          <t>Vähintään Amm. aikuisk. 3 § mukainen. Tähän ei merkitä lisiä.</t>
        </r>
      </text>
    </comment>
    <comment ref="F55" authorId="1">
      <text>
        <r>
          <rPr>
            <b/>
            <sz val="8"/>
            <rFont val="Tahoma"/>
            <family val="2"/>
          </rPr>
          <t>Kaikki korvaukset ja lisät, jotka eivät ole osa Amm. aikuisk. 3 § kohdan mukaista palkkaa.</t>
        </r>
        <r>
          <rPr>
            <sz val="8"/>
            <rFont val="Tahoma"/>
            <family val="2"/>
          </rPr>
          <t xml:space="preserve">
</t>
        </r>
      </text>
    </comment>
    <comment ref="L46" authorId="1">
      <text>
        <r>
          <rPr>
            <b/>
            <sz val="8"/>
            <rFont val="Tahoma"/>
            <family val="2"/>
          </rPr>
          <t>Amm. aikuisk. 2 §  2 . kappale</t>
        </r>
        <r>
          <rPr>
            <sz val="8"/>
            <rFont val="Tahoma"/>
            <family val="2"/>
          </rPr>
          <t xml:space="preserve">
</t>
        </r>
      </text>
    </comment>
    <comment ref="L48" authorId="1">
      <text>
        <r>
          <rPr>
            <b/>
            <sz val="8"/>
            <rFont val="Tahoma"/>
            <family val="2"/>
          </rPr>
          <t>Amm. aikuisk. 2 §  2 . kohta</t>
        </r>
      </text>
    </comment>
    <comment ref="L50" authorId="1">
      <text>
        <r>
          <rPr>
            <b/>
            <sz val="8"/>
            <rFont val="Tahoma"/>
            <family val="2"/>
          </rPr>
          <t>Amm. aikuisk. 2 §  2 . kohta</t>
        </r>
      </text>
    </comment>
    <comment ref="M21" authorId="1">
      <text>
        <r>
          <rPr>
            <sz val="8"/>
            <rFont val="Tahoma"/>
            <family val="2"/>
          </rPr>
          <t>Koskee vain kansalais- opiston tuntiopettajia.</t>
        </r>
      </text>
    </comment>
    <comment ref="B41" authorId="1">
      <text>
        <r>
          <rPr>
            <b/>
            <sz val="8"/>
            <rFont val="Tahoma"/>
            <family val="2"/>
          </rPr>
          <t xml:space="preserve">Tähän merkittävä palkka on vähintään  vähimmäispalkka (AMK 3 §) + mahdollinen "pakollinen" saatavuuslisä (AMK 8§ 2 kohta). 
Tähän ei merkitä muita lisiä kuin saatavuuslisät (8 § 1 ja 2 kohta).
 </t>
        </r>
      </text>
    </comment>
    <comment ref="L33" authorId="1">
      <text>
        <r>
          <rPr>
            <b/>
            <sz val="8"/>
            <rFont val="Tahoma"/>
            <family val="2"/>
          </rPr>
          <t>AMK 6 § 2 kohta</t>
        </r>
      </text>
    </comment>
    <comment ref="M20" authorId="1">
      <text>
        <r>
          <rPr>
            <sz val="8"/>
            <rFont val="Tahoma"/>
            <family val="2"/>
          </rPr>
          <t>Koskee vain kansalais- opiston tuntiopettajia. (Kansalaisopistot 11 § soveltamisohje.)</t>
        </r>
      </text>
    </comment>
    <comment ref="L61" authorId="1">
      <text>
        <r>
          <rPr>
            <b/>
            <sz val="8"/>
            <rFont val="Tahoma"/>
            <family val="2"/>
          </rPr>
          <t>OSIO C Liite 10 16 § 1 mom.</t>
        </r>
      </text>
    </comment>
    <comment ref="L63" authorId="1">
      <text>
        <r>
          <rPr>
            <b/>
            <sz val="8"/>
            <rFont val="Tahoma"/>
            <family val="2"/>
          </rPr>
          <t>OSIO C Liite 10 16 § 2 mom.</t>
        </r>
      </text>
    </comment>
    <comment ref="L65" authorId="1">
      <text>
        <r>
          <rPr>
            <b/>
            <sz val="8"/>
            <rFont val="Tahoma"/>
            <family val="2"/>
          </rPr>
          <t>OSIO C Liite 10 17 §</t>
        </r>
      </text>
    </comment>
    <comment ref="B69" authorId="1">
      <text>
        <r>
          <rPr>
            <b/>
            <sz val="8"/>
            <rFont val="Tahoma"/>
            <family val="2"/>
          </rPr>
          <t>6-20 % (OSIO A 5 §)</t>
        </r>
      </text>
    </comment>
    <comment ref="F72" authorId="1">
      <text>
        <r>
          <rPr>
            <b/>
            <sz val="8"/>
            <rFont val="Tahoma"/>
            <family val="2"/>
          </rPr>
          <t xml:space="preserve">Mm. henkilökohtainen lisä (Yleinen osa II Luku 7 §), kielilisä (Yleinen osa II Luku 8 §), kielitaitolisä (Yleinen osa II Luku 9 §), luottamusmies- ja työsuojeluvaltuutetun korvaus (AvainTES 115 §).
</t>
        </r>
      </text>
    </comment>
    <comment ref="B74" authorId="1">
      <text>
        <r>
          <rPr>
            <b/>
            <sz val="8"/>
            <rFont val="Tahoma"/>
            <family val="2"/>
          </rPr>
          <t xml:space="preserve">Tähän merkitään henkilökohtainen peruspalkka, joka sisältää palveluvuosien vaikutuksen palkkaan (OSIO C Liite 10 4 §). 
 </t>
        </r>
      </text>
    </comment>
    <comment ref="F75" authorId="1">
      <text>
        <r>
          <rPr>
            <b/>
            <sz val="8"/>
            <rFont val="Tahoma"/>
            <family val="2"/>
          </rPr>
          <t>Muut kuin kohdan 6 lisät.</t>
        </r>
      </text>
    </comment>
  </commentList>
</comments>
</file>

<file path=xl/sharedStrings.xml><?xml version="1.0" encoding="utf-8"?>
<sst xmlns="http://schemas.openxmlformats.org/spreadsheetml/2006/main" count="827" uniqueCount="353">
  <si>
    <t>Kalleusluokka</t>
  </si>
  <si>
    <t>Hinnoittelutunnus</t>
  </si>
  <si>
    <t>I kl</t>
  </si>
  <si>
    <t>II kl</t>
  </si>
  <si>
    <t>Koodi</t>
  </si>
  <si>
    <t>valittu</t>
  </si>
  <si>
    <t>lisäpalkkiot</t>
  </si>
  <si>
    <t>Alkuopetuksen lisä (01220)</t>
  </si>
  <si>
    <t>Yhteisyyslisä (01220)</t>
  </si>
  <si>
    <t>Yt-peruste</t>
  </si>
  <si>
    <t>Peruspalk</t>
  </si>
  <si>
    <t>Ei ole</t>
  </si>
  <si>
    <t>Kl-kert. sis.</t>
  </si>
  <si>
    <t>Vuosiviikko ytp</t>
  </si>
  <si>
    <t>Kertatuntip.</t>
  </si>
  <si>
    <t xml:space="preserve">Sivut tuntiop </t>
  </si>
  <si>
    <t>e/kk</t>
  </si>
  <si>
    <t>40804012 Musiikkioppil.opettaja/ykkt</t>
  </si>
  <si>
    <t>40804013 Musiikkioppil.opettaja/muu tutk.</t>
  </si>
  <si>
    <t>40804014 Musiikkioppil.opettaja/amk ym.</t>
  </si>
  <si>
    <t>40807027 Musiikkioppil. tuntiopettaja/muu tutk</t>
  </si>
  <si>
    <t>40807028 Musiikkioppil. tuntiopettaja/amk ym.</t>
  </si>
  <si>
    <t>Hitun</t>
  </si>
  <si>
    <t>Epäp al</t>
  </si>
  <si>
    <t>On</t>
  </si>
  <si>
    <t>2. Valitse kalleusluokka:</t>
  </si>
  <si>
    <t>1. Valitse hinnoittelutunnus:</t>
  </si>
  <si>
    <t>epäpale ei mahd</t>
  </si>
  <si>
    <t>Tehtäväkohtainen palkka ei voi olla pienempi kuin peruspalkka!</t>
  </si>
  <si>
    <t>Virheen kommentti:</t>
  </si>
  <si>
    <t>epäpale valittu</t>
  </si>
  <si>
    <t>virhe</t>
  </si>
  <si>
    <t>Epäpät ale</t>
  </si>
  <si>
    <t>Poista kysymyksen 3 syötetty palkka tai valitse 'On epäpätevyysalennus' !</t>
  </si>
  <si>
    <t>(ei virheitä)</t>
  </si>
  <si>
    <t>PALKKA:</t>
  </si>
  <si>
    <t>OPETUS-</t>
  </si>
  <si>
    <t>VELVOLLISUUS:</t>
  </si>
  <si>
    <t>Vuosisidonnaisen lisän prosentit</t>
  </si>
  <si>
    <t>5v</t>
  </si>
  <si>
    <t>8v</t>
  </si>
  <si>
    <t>10v</t>
  </si>
  <si>
    <t>15v</t>
  </si>
  <si>
    <t>20v</t>
  </si>
  <si>
    <t>0v</t>
  </si>
  <si>
    <t>vuosisid osa</t>
  </si>
  <si>
    <t>5 vuotta</t>
  </si>
  <si>
    <t>8 vuotta</t>
  </si>
  <si>
    <t>10 vuotta</t>
  </si>
  <si>
    <t>15 vuotta</t>
  </si>
  <si>
    <t>20 vuotta</t>
  </si>
  <si>
    <t>Vuosisidonnaisen lisän prosentit, kumulatiivinen</t>
  </si>
  <si>
    <t>alle 5 vuotta</t>
  </si>
  <si>
    <t>tuntia/vko</t>
  </si>
  <si>
    <t>tuntia/kk</t>
  </si>
  <si>
    <t>+ Vuosisidonnainen osa</t>
  </si>
  <si>
    <t xml:space="preserve">  = KOKONAISANSIOT YHTEENSÄ</t>
  </si>
  <si>
    <t>Toteutuva kommentti</t>
  </si>
  <si>
    <t>LASKELMA VALMIS</t>
  </si>
  <si>
    <t>VUOSISIDONNAINEN OSA:</t>
  </si>
  <si>
    <t>e/tunti</t>
  </si>
  <si>
    <t>Sivut.tuntiop. tuntipalkkio</t>
  </si>
  <si>
    <t>Vuosiv. ylitunnin     a-hinta</t>
  </si>
  <si>
    <t>Kertatuntipalkkion  a-hinta</t>
  </si>
  <si>
    <t>40901024 Ammatillisen oppilaitoksen rehtori</t>
  </si>
  <si>
    <t>43004004 Amm.aikuisk.keskuksen kokaik.opettaja/Ylempi k.k.tutk.</t>
  </si>
  <si>
    <t>43004005 Amm.aikuisk.keskuksen kokaik.opettaja/Korkeak. ja ins. tutk.</t>
  </si>
  <si>
    <t>43004006 Amm.aikuisk.keskuksen kokaik.opettaja/Opistoasteen tutkinto</t>
  </si>
  <si>
    <t>40801002 Musiikkioppilaitoksen rehtori</t>
  </si>
  <si>
    <t>40802005 Musiikkioppilaitoksen apulaisrehtori</t>
  </si>
  <si>
    <t>40807026 Musiikkioppil. tuntiopettaja/ykkt</t>
  </si>
  <si>
    <t>+ Vuosiviikkoylituntipalkkiot yht</t>
  </si>
  <si>
    <t>opv-ope</t>
  </si>
  <si>
    <t>%-alaraja</t>
  </si>
  <si>
    <t>tuntiopettaja</t>
  </si>
  <si>
    <t>Alennettu palkka ei voi olla hinnoittelutunnuksen mukaista peruspalkkaa suurempi!</t>
  </si>
  <si>
    <t>Alennettu peruspalkka ei mahdollinen ko. hinnoittelussa. Valitse uudelleen!</t>
  </si>
  <si>
    <t>Tuntiopettajan tuntipalkkio</t>
  </si>
  <si>
    <t>VÄHIMMÄISPALKKA:</t>
  </si>
  <si>
    <t>PALVELUVUODET:</t>
  </si>
  <si>
    <t>YLITUNTIPALKKIOIDEN LKM:</t>
  </si>
  <si>
    <t xml:space="preserve">   Palkka</t>
  </si>
  <si>
    <t>+ Työajan ylityskorvaukset yht.</t>
  </si>
  <si>
    <t>+ Epämukavan työajan lisät yht.</t>
  </si>
  <si>
    <t>Vähimmäispalkat:</t>
  </si>
  <si>
    <t>Osio D</t>
  </si>
  <si>
    <t>Yliopettaja :</t>
  </si>
  <si>
    <t>- Viranhaltija (42204010, 42204011, 42204012)</t>
  </si>
  <si>
    <t>0 vuotta palvelua</t>
  </si>
  <si>
    <t>10 vuotta palvelua</t>
  </si>
  <si>
    <t>15 vuotta palvelua</t>
  </si>
  <si>
    <t>Lehtori:</t>
  </si>
  <si>
    <t>- Viranhaltija (42204020, 42204021, 42204022)</t>
  </si>
  <si>
    <t>- Kokoaikainen tuntiopettaja (42207020, 42207021, 42207022)</t>
  </si>
  <si>
    <t>Palkka:</t>
  </si>
  <si>
    <t>0 vuotta</t>
  </si>
  <si>
    <t>Alaraja</t>
  </si>
  <si>
    <t>Yläraja</t>
  </si>
  <si>
    <t>Amm.aikuisk.keskuksen kokaik.opettaja/Ylempi k.k.tutk.</t>
  </si>
  <si>
    <t>Amm.aikuisk.keskuksen kokaik.opettaja/Korkeak. ja ins. tutk.</t>
  </si>
  <si>
    <t>Amm.aikuisk.keskuksen kokaik.opettaja/Opistoasteen tutkinto</t>
  </si>
  <si>
    <t>Amm.aikuisk.keskuksen kokaik.opettaja/Muu muu tutkinto</t>
  </si>
  <si>
    <t>saatavuuslisällä</t>
  </si>
  <si>
    <t>42204010 Yliopettaja, tekniikka ja liikenne</t>
  </si>
  <si>
    <t>42204011 Yliopettaja, hallinto ja kauppa</t>
  </si>
  <si>
    <t>42204012 Yliopettaja, muut koulutusalat</t>
  </si>
  <si>
    <t>42204020 Lehtori, tekniikka ja liikenne</t>
  </si>
  <si>
    <t>42204021 Lehtori, hallinto ja kauppa</t>
  </si>
  <si>
    <t>42204022 Lehtori, muut koulutusalat</t>
  </si>
  <si>
    <t>42207010 Tuntiopettaja yliopettaja, tekniikka ja liikenne</t>
  </si>
  <si>
    <t>42207011 Tuntiopettaja yliopettaja, hallinto ja kauppa</t>
  </si>
  <si>
    <t>42207012 Tuntiopettaja yliopettaja, muut koulutusalat</t>
  </si>
  <si>
    <t>42207020 Tuntiopettaja lehtori, tekniikka ja liikenne</t>
  </si>
  <si>
    <t>42207021 Tuntiopettaja lehtori, hallinto ja kauppa</t>
  </si>
  <si>
    <t>42207022 Tuntiopettaja lehtori, muut koulutusalat</t>
  </si>
  <si>
    <t>Hitu</t>
  </si>
  <si>
    <t>TYÖAIKALISÄT:</t>
  </si>
  <si>
    <t>%:a</t>
  </si>
  <si>
    <t>5. Syötä palkka:</t>
  </si>
  <si>
    <t>MUUT KORVAUKSET JA LISÄT:</t>
  </si>
  <si>
    <t>1 kl</t>
  </si>
  <si>
    <t>2 kl</t>
  </si>
  <si>
    <t>6. Syötä varsinaiseen palkkaan kuuluvat</t>
  </si>
  <si>
    <t>lisät yhteensä:</t>
  </si>
  <si>
    <t>9. Syötä muiden korvausten ja lisien euromäärä yhteensä:</t>
  </si>
  <si>
    <t>8. Syötä työajan ylityskorvausten tunnit:</t>
  </si>
  <si>
    <t>7. Syötä muut</t>
  </si>
  <si>
    <t>+ Muut korvaukset ja lisät yht</t>
  </si>
  <si>
    <t>+ Kertatuntipalkkiot yht</t>
  </si>
  <si>
    <t>40003001 Apulaisrehtori ja aikuiskoulutusjohtaja/ykkt</t>
  </si>
  <si>
    <t>40003002 Apulaisrehtori ja aikuiskoulutusjohtaja/muu tutkinto</t>
  </si>
  <si>
    <t>Tehtäväkohtaisen palkan asteikot / Peruspalkat:</t>
  </si>
  <si>
    <t>Hinnoittelu-</t>
  </si>
  <si>
    <t>Osio/</t>
  </si>
  <si>
    <t>tunnus</t>
  </si>
  <si>
    <t>Liite</t>
  </si>
  <si>
    <t>Nimi</t>
  </si>
  <si>
    <t>Ammatillisen oppilaitoksen rehtori</t>
  </si>
  <si>
    <t>Apulaisrehtori ja aikuiskoulutusjohtaja/ykkt</t>
  </si>
  <si>
    <t>Apulaisrehtori ja aikuiskoulutusjohtaja/muu tutkinto</t>
  </si>
  <si>
    <t>Opinto-ohjaaja/muu tutkinto</t>
  </si>
  <si>
    <t>Liite 10</t>
  </si>
  <si>
    <t>Musiikkioppilaitoksen rehtori</t>
  </si>
  <si>
    <t>Musiikkioppilaitoksen apulaisrehtori</t>
  </si>
  <si>
    <t>Musiikkioppil.opettaja/ykkt</t>
  </si>
  <si>
    <t>Musiikkioppil.opettaja/amk ym.</t>
  </si>
  <si>
    <t>Musiikkioppil.opettaja/muu tutk.</t>
  </si>
  <si>
    <t>Musiikkioppil. tuntiopettaja/ykkt</t>
  </si>
  <si>
    <t>Musiikkioppil. tuntiopettaja/amk ym.</t>
  </si>
  <si>
    <t>Musiikkioppil. tuntiopettaja/muu tutk</t>
  </si>
  <si>
    <t>Kansalaisopistojen rehtori</t>
  </si>
  <si>
    <t>Kansalaisopistojen apulaisrehtori</t>
  </si>
  <si>
    <t>Kansalaisopiston opettaja/ykkt</t>
  </si>
  <si>
    <t>Kansalaisopiston opettaja/muu tutk.</t>
  </si>
  <si>
    <t>Tuntipalkat:</t>
  </si>
  <si>
    <t>Musiikkioppilaitoksen sivutoimisen tuntiopettajan tuntipalkkio:</t>
  </si>
  <si>
    <t xml:space="preserve">Soveltuva ylempi korkeakoulututkinto </t>
  </si>
  <si>
    <t>Muu soveltuva tutkinto taikka aiempi opettajan tai säestäjän kelpoisuus</t>
  </si>
  <si>
    <t>Kansalaisopiston tuntiopettajan tuntipalkkio:</t>
  </si>
  <si>
    <t>Liitte 12</t>
  </si>
  <si>
    <t xml:space="preserve">40807029 Musiikkioppil. sivutoiminen tuntiop/soveltuva ylempi korkeakoulututkinto </t>
  </si>
  <si>
    <t>40807030 Musiikkioppil. sivutoiminen tuntiop/soveltuva ammattikorkeakoulututkinto, konservatorion jatkotutkinto tai aiempi lehtorin kelpoisuus</t>
  </si>
  <si>
    <t>40807031 Musiikkioppil. sivutoiminen tuntiop/muu soveltuva tutkinto taikka aiempi opettajan tai säestäjän kelpoisuus</t>
  </si>
  <si>
    <t>Sivut tuntipalkkio</t>
  </si>
  <si>
    <t>I &amp; II</t>
  </si>
  <si>
    <t>vain tuntipalkkio</t>
  </si>
  <si>
    <t>Kyllä</t>
  </si>
  <si>
    <t>Ei</t>
  </si>
  <si>
    <t>aikk</t>
  </si>
  <si>
    <t>Palveluvuosia</t>
  </si>
  <si>
    <t xml:space="preserve"> 4. Valitse vuosien lkm:</t>
  </si>
  <si>
    <t xml:space="preserve"> 3. Valitse vuosien lkm:</t>
  </si>
  <si>
    <t>+ Lisätyön korvaukset yht.</t>
  </si>
  <si>
    <t xml:space="preserve">6. Syötä muiden korvausten ja lisien </t>
  </si>
  <si>
    <t>euromäärä yht:</t>
  </si>
  <si>
    <t>7. Syötä lisätyön tunnit:</t>
  </si>
  <si>
    <t>8. Syötä ilta- ja lauantaityön tunnit:</t>
  </si>
  <si>
    <t>9. Syötä yö- ja sunnuntaityön tunnit:</t>
  </si>
  <si>
    <t>MUUT LISÄT:</t>
  </si>
  <si>
    <t>+ Muut lisät yht.</t>
  </si>
  <si>
    <t>Palkkiot</t>
  </si>
  <si>
    <t>Rehtori</t>
  </si>
  <si>
    <t>Apulaisrehtori ja aikuiskoulutusjohtaja/ylempi korkeakoulututkinto</t>
  </si>
  <si>
    <t>Opinto-ohjaaja/ylempi korkeakoulututkinto</t>
  </si>
  <si>
    <t>Lehtori/soveltuva ylempi korkeakoulututkinto tai soveltuva ylempi ammattikorkeakoulututkinto</t>
  </si>
  <si>
    <t>Apulaisrehtori</t>
  </si>
  <si>
    <t>Sivutoimisen tuntiopettajan tuntipalkkio</t>
  </si>
  <si>
    <t>€/tunti</t>
  </si>
  <si>
    <t>Vähimmäispalkat</t>
  </si>
  <si>
    <t>alkupalkka vähintään</t>
  </si>
  <si>
    <t>10 palveluvuoden jälkeen vähintään</t>
  </si>
  <si>
    <t>15 palveluvuoden jälkeen vähintään</t>
  </si>
  <si>
    <t>Palkka</t>
  </si>
  <si>
    <t>4 30 04 00 4</t>
  </si>
  <si>
    <t>Kokoaikainen opettaja/ylempi korkeakoulututkinto</t>
  </si>
  <si>
    <t>4 30 04 00 5</t>
  </si>
  <si>
    <t>4 30 04 00 6</t>
  </si>
  <si>
    <t>Kokoaikainen opettaja/opistoasteen tutkinto</t>
  </si>
  <si>
    <t>4 30 04 00 7</t>
  </si>
  <si>
    <t>Kokoaikainen opettaja/muu tutkinto</t>
  </si>
  <si>
    <t xml:space="preserve">   Palkan alaraja</t>
  </si>
  <si>
    <t>MAHDOLLINEN EPÄPÄTEVYYS:</t>
  </si>
  <si>
    <t>2. Syötä alennus-%, jos ei kelpoisuutta</t>
  </si>
  <si>
    <t>3. Syötä alennus-%, jos ei kelpoisuutta</t>
  </si>
  <si>
    <t>40901024 Ammatilliset oppil. -  Rehtori</t>
  </si>
  <si>
    <t>40003001 Ammatilliset oppil. -  Apulaisrehtori ja aikuiskoulutusjohtaja/ylempi korkeakoulututkinto</t>
  </si>
  <si>
    <t>40003002 Ammatilliset oppil. -  Apulaisrehtori ja aikuiskoulutusjohtaja/muu tutkinto</t>
  </si>
  <si>
    <t>40801002 Musiikkioppil. -  Rehtori</t>
  </si>
  <si>
    <t>40802005 Musiikkioppil. -  Apulaisrehtori</t>
  </si>
  <si>
    <t>40807026 Musiikkioppil. -  Tuntiopettaja/soveltuva ylempi korkeakoulututkinto tai soveltuva ylempi ammattikorkeakoulututkinto</t>
  </si>
  <si>
    <t>40807028 Musiikkioppil. -  Tuntiopettaja/soveltuva ammattikorkeakoulututkinto, konservatorion jatkotutkinto tai aiempi lehtorin kelpoisuus</t>
  </si>
  <si>
    <t>40807027 Musiikkioppil. -  Tuntiopettaja/muu soveltuva tutkinto tai aiempi opettajan tai säestäjän tutkinto</t>
  </si>
  <si>
    <t xml:space="preserve">40807029 Musiikkioppil. -  Musiikkioppil. sivutoiminen tuntiop/soveltuva ylempi korkeakoulututkinto </t>
  </si>
  <si>
    <t>40807030 Musiikkioppil. -  Musiikkioppil. sivutoiminen tuntiop/soveltuva ammattikorkeakoulututkinto, konservatorion jatkotutkinto tai aiempi lehtorin kelpoisuus</t>
  </si>
  <si>
    <t>40807031 Musiikkioppil. -  Musiikkioppil. sivutoiminen tuntiop/muu soveltuva tutkinto taikka aiempi opettajan tai säestäjän kelpoisuus</t>
  </si>
  <si>
    <t>40601001 Kansalaisopisto -  Rehtori</t>
  </si>
  <si>
    <t>40602002 Kansalaisopisto -  Apulaisrehtori</t>
  </si>
  <si>
    <t>40604006 Kansalaisopisto -  Opettaja/soveltuva ylempi korkeakoulututkinto tai soveltuva ylempi ammattikorkeakoulututkinto</t>
  </si>
  <si>
    <t>40604007 Kansalaisopisto -  Opettaja/muu soveltuva tutkinto tai erivapaus kansalaisopistonopettajan virkaan</t>
  </si>
  <si>
    <t>4 22 04 03 0</t>
  </si>
  <si>
    <t>Tekniikan laboratorio- ja harjoitteluinsinööri (13 a §)</t>
  </si>
  <si>
    <t>5 palveluvuoden jälkeen vähintään</t>
  </si>
  <si>
    <t>20 palveluvuoden jälkeen vähintään</t>
  </si>
  <si>
    <t>Vähimmäisperuspalkat</t>
  </si>
  <si>
    <t>Ammatillinen aikuiskoulutuskeskus</t>
  </si>
  <si>
    <t>Ammattikorkeakoulu</t>
  </si>
  <si>
    <t>Kansalaisopisto</t>
  </si>
  <si>
    <t>Opettaja/muu tutkinto</t>
  </si>
  <si>
    <t xml:space="preserve">Tuntiopettajan tuntipalkkioperuste </t>
  </si>
  <si>
    <t>Tuntiopettaja/ylempi korkeakoulututkinto</t>
  </si>
  <si>
    <t>Tuntiopettaja/alempi korkeakoulututkinto, ammattikorkeakoulututkinto, voimistelun-, kuvaamataidon-, musiikin-, kotitalous-, kotiteollisuus- ja käsityönopettajan tutkinto tai opistoinsinöörin tutkinto</t>
  </si>
  <si>
    <t>Tuntiopettaja/muu tuntiopettaja</t>
  </si>
  <si>
    <t>Opettaja/soveltuva ylempi korkeakoulututkinto</t>
  </si>
  <si>
    <t>Opettaja/soveltuva ammattikorkeakoulututkinto, konservatorion jatkotutkinto tai entinen lehtorin kelpoisuus</t>
  </si>
  <si>
    <t>Opettaja/muu soveltuva tutkinto tai entinen opettajan kelpoisuus</t>
  </si>
  <si>
    <t xml:space="preserve">Ammatillisen koulutuksen lehtori/ylempi korkeakoulututkinto </t>
  </si>
  <si>
    <t>Ammatillisen koulutuksen lehtori/muu soveltuva tutkinto</t>
  </si>
  <si>
    <t>Tuntiopettaja/soveltuva ylempi korkeakoulututkinto</t>
  </si>
  <si>
    <t>Tuntiopettaja/soveltuva ammattikorkeakoulututkinto, konservatorion jatkotutkinto tai entinen lehtorin kelpoisuus</t>
  </si>
  <si>
    <t>Tuntiopettaja/muu soveltuva tutkinto tai entinen opettajan kelpoisuus</t>
  </si>
  <si>
    <t>Soveltuva ylempi korkeakoulututkinto</t>
  </si>
  <si>
    <t>Ammattikorkeakoulussa suoritettu musiikinopettajan tutkinto tai konservatoriossa suoritettu musiikkioppilaitoksen opettajan opintolinjan jatkotutkinto tai aiempi lehtorilta vaadittu kelpoisuus</t>
  </si>
  <si>
    <t>Muu soveltuva tutkinto taikka aiempi opettajalta tai säestäjältä vaadittu kelpoisuus</t>
  </si>
  <si>
    <t>Yhteiset</t>
  </si>
  <si>
    <t>Musiikkioppilaitokset</t>
  </si>
  <si>
    <t>Ylempi korkeakoulututkinto</t>
  </si>
  <si>
    <t>Alempi korkeakoulututkinto, amkt, voimistelun- jne. tutkinto</t>
  </si>
  <si>
    <t>Muu tuntiopettaja</t>
  </si>
  <si>
    <t>40607033 Kansalaisopiston tuntiopettaja/ylempi korkeakoulututkinto</t>
  </si>
  <si>
    <t>40607034 Kansalaisopiston tuntiopettaja/alempi korkeakoulututkinto</t>
  </si>
  <si>
    <t>40607035 Kansalaisopiston tuntiopettaja/muu tuntiopettaja</t>
  </si>
  <si>
    <t>5 vuotta palvelua</t>
  </si>
  <si>
    <t>20 vuotta palvelua</t>
  </si>
  <si>
    <t>AMMATTIKORKEAKOULU</t>
  </si>
  <si>
    <t>Ammatillinen aikuiskoulutus</t>
  </si>
  <si>
    <t>Ammattikorkeat</t>
  </si>
  <si>
    <t>AMMATILLINEN AIKUISKOULUTUSKESKUS</t>
  </si>
  <si>
    <t>Musiikkioppil. ammatillisen koulutuksen lehtori/muu soveltuva</t>
  </si>
  <si>
    <t>Musiikkioppil. ammatillisen koulutuksen opettaja/ ylempi kkt</t>
  </si>
  <si>
    <t>40804008 Musiikkioppil. -  Ammatillisen koulutuksen opettaja/ykk</t>
  </si>
  <si>
    <t>40804009 Musiikkioppil. Ammatillisen koulutuksen opettaja/muu soveltuva</t>
  </si>
  <si>
    <t>Vain II</t>
  </si>
  <si>
    <t>43004007 Amm.aikuisk.keskuksen kokaik.opettaja/Muu tutkinto</t>
  </si>
  <si>
    <t>9. Syötä ilta- ja yötyön tunnit:</t>
  </si>
  <si>
    <t>10. Syötä viikonloppu- ja arkipyhätyön tunnit:</t>
  </si>
  <si>
    <t>VÄHIMMÄISPERUSPALKKA</t>
  </si>
  <si>
    <t>HENKILÖKOHTAINEN</t>
  </si>
  <si>
    <t xml:space="preserve">   Vähimmäisperuspalkka</t>
  </si>
  <si>
    <r>
      <t xml:space="preserve">Vähimmäispalkka </t>
    </r>
    <r>
      <rPr>
        <sz val="6"/>
        <rFont val="Arial Narrow"/>
        <family val="2"/>
      </rPr>
      <t>(sis. mahd. saatavuuslisä 8 § 2 kohta)</t>
    </r>
  </si>
  <si>
    <t>Tekniikka AMK</t>
  </si>
  <si>
    <t>Kerroin</t>
  </si>
  <si>
    <t>PERUSPALKKA:</t>
  </si>
  <si>
    <t xml:space="preserve">Kielilisä (8 §) </t>
  </si>
  <si>
    <t>€/kk</t>
  </si>
  <si>
    <t xml:space="preserve">Hyvä suullinen taito (8 § 1 mom.) </t>
  </si>
  <si>
    <t xml:space="preserve">Hyvä suullinen ja kirjallinen taito (8 § 1 mom.) </t>
  </si>
  <si>
    <t xml:space="preserve">Molempien kotimaisten kielten täydellinen hallinta (8 § 2 mom.) </t>
  </si>
  <si>
    <t>Kielitaitolisä (9  § 2 mom.)</t>
  </si>
  <si>
    <t>Tutkintotaso I</t>
  </si>
  <si>
    <t>Tutkintotaso II</t>
  </si>
  <si>
    <t>Tutkintotaso III tai korkeampi</t>
  </si>
  <si>
    <t>Yksityisopiskelijan tentti (12 §)</t>
  </si>
  <si>
    <t>Tuntiopettaja/soveltuva ylempi korkeakoulututkinto tai soveltuva ylempi ammattikorkeakoulututkinto</t>
  </si>
  <si>
    <t>Avainta/NP</t>
  </si>
  <si>
    <t xml:space="preserve">Ammattikorkeakoulut </t>
  </si>
  <si>
    <t>Aikuiskoulutuskeskukset</t>
  </si>
  <si>
    <t>Yliopettaja (42204010, 42204011, 42204012)</t>
  </si>
  <si>
    <t>Lehtori ja tuntiopettaja (42204020, 42204021, 42204022)</t>
  </si>
  <si>
    <t xml:space="preserve">Opettaja/ylempi korkeakoulututkinto </t>
  </si>
  <si>
    <t>Ammatillinen vuosityöaika</t>
  </si>
  <si>
    <t>OSIO A Yleinen osa</t>
  </si>
  <si>
    <t>OSIO C Ammatillisten oppilaitosten opetushenkilöstön yhteiset määräykset</t>
  </si>
  <si>
    <t>OSIO C Liite 10 Ammatillisen oppilaitoksen opetushenkilöstö</t>
  </si>
  <si>
    <t>Vähimmäisperuspalkka</t>
  </si>
  <si>
    <t>Lehtori/soveltuva korkeakoulututkinto, insinöörin tai rakennusarkkitehdin tutkinto</t>
  </si>
  <si>
    <t>Lehtori/soveltuva opistoasteen tutkinto</t>
  </si>
  <si>
    <t>Lehtori/muu soveltuva tutkinto tai koulutus</t>
  </si>
  <si>
    <t>Tuntiopettaja/muu soveltuva tutkinto tai koulutus</t>
  </si>
  <si>
    <t>Sivutoimisen tuntiopettajan palkkio</t>
  </si>
  <si>
    <t>OSIO D Ammattikorkeakoulu</t>
  </si>
  <si>
    <t>OSIO E Ammatillinen aikuiskoulutuskeskus</t>
  </si>
  <si>
    <t>OSIO F Liite 1 Kansalaisopisto</t>
  </si>
  <si>
    <t>OSIO F Liite 2 Musiikkioppilaitos</t>
  </si>
  <si>
    <t>AMMATILLINEN VUOSITYÖAIKA</t>
  </si>
  <si>
    <t>Tuntiopettaja/soveltuva korkeakoulututkinto, insinöörin tai rakennusarkkitehdin tutkinto</t>
  </si>
  <si>
    <t>Tuntiopettaja/soveltuva opistoasteen tutkinto</t>
  </si>
  <si>
    <t>1 kalleusluokka</t>
  </si>
  <si>
    <t>2 kalleusluokka</t>
  </si>
  <si>
    <t>Soveltuva ammattikorkeakoulututkinto, konservatorion jatkotutkinto tai aiempi lehtorin kelpoisuus</t>
  </si>
  <si>
    <t>41103003 Opinto-ohjaaja/ylempi korkeakoulututkinto</t>
  </si>
  <si>
    <t>41103004 Opinto-ohjaaja/muu tutkinto</t>
  </si>
  <si>
    <t>41104001 Lehtori/soveltuva ylempi korkeakoulututkinto tai soveltuva ylempi ammattikorkeakoulututkinto</t>
  </si>
  <si>
    <t>41104002 Lehtori/soveltuva korkeakoulututkinto, insinöörin tai rakennusarkkitehdin tutkinto</t>
  </si>
  <si>
    <t>41104003 Lehtori/soveltuva opistoasteen tutkinto</t>
  </si>
  <si>
    <t>41104004 Lehtori/muu soveltuvat tutkinto tai koulutus</t>
  </si>
  <si>
    <t>41107001 Tuntiopettaja/soveltuva ylempi korkeakoulututkinto tai soveltuva ylempi ammattikorkeakoulututkinto</t>
  </si>
  <si>
    <t>41107002 Tuntiopettaja/soveltuva korkeakoulututkinto, insinöörin tai rakennusarkkitehdin tutkinto</t>
  </si>
  <si>
    <t>41107003 Tuntiopettaja/soveltuva opistoasteen tutkinto</t>
  </si>
  <si>
    <t>41107004 Tuntiopettaja/muu soveltuva tutkinto tai koulutus</t>
  </si>
  <si>
    <t>Ammattiset oppilaitokset C liite 10</t>
  </si>
  <si>
    <t>Osio C 10</t>
  </si>
  <si>
    <t>Vähimmäispalkat 1.5.2018</t>
  </si>
  <si>
    <t>8. Syötä työajan ylityskorvausten tunnit alle 1700 t:</t>
  </si>
  <si>
    <t>9. Syötä työajan ylityskorvauksten tunnit yli 1700 t:</t>
  </si>
  <si>
    <t>10. Syötä ilta-, yö-, arkipyhä- ja viikonlopputyön tunnit:</t>
  </si>
  <si>
    <t>+ Työajan ylityskorvaukset alle 1700 t</t>
  </si>
  <si>
    <t>+ Työajan ylityskorvaukset yli 1700 t</t>
  </si>
  <si>
    <t>42204030 Tekniikan laboratorio- ja harjoitteluinsinööri</t>
  </si>
  <si>
    <t>OSIO D</t>
  </si>
  <si>
    <t>Virheet</t>
  </si>
  <si>
    <t>Ei täytetä valitulle opettajalle</t>
  </si>
  <si>
    <t>4 06 07 03 3</t>
  </si>
  <si>
    <t>4 06 07 03 4</t>
  </si>
  <si>
    <t>4 06 07 03 5</t>
  </si>
  <si>
    <t>AVAINOTES palkat ja palkkio 1.8.2020 lukien</t>
  </si>
  <si>
    <t>e/kerta</t>
  </si>
  <si>
    <t>Merenkulun koulutusalan laboratorioinsinööri</t>
  </si>
  <si>
    <t>Kokoaikainen opettaja/korkeakoulututkinto tai insinöörin tutkinto</t>
  </si>
  <si>
    <t>AVAINOTES palkanlaskentaohjelma 1.8.2020 alkaen</t>
  </si>
  <si>
    <t>Palkat ja erilliskorvaukset  1.8.2020 lukien</t>
  </si>
  <si>
    <t>Vähpalkat 1.8.2020</t>
  </si>
  <si>
    <t>42004003 Ammatilliset oppil. Merenkulun koulutusalan laboratorioinsinööri</t>
  </si>
  <si>
    <t xml:space="preserve">Peruspalkat 1.8.2020 lukien, e/kk </t>
  </si>
  <si>
    <t xml:space="preserve">40604006 Kansalaisopisto -  Opettaja/ylempi korkeakoulututkinto </t>
  </si>
  <si>
    <t>40604007 Kansalaisopisto -  Opettaja/muu tutkinto</t>
  </si>
  <si>
    <t>40607034 Kansalaisopiston tuntiopettaja/alempi korkeakoulututkinto, ammattikorkeakoulututkinto, voimistelun-, kuvaamataidon-, musiikin-, kotitalous-, kotiteollisuus- ja käsityönopettajan tutkinto tai opistoinsinöörin tutkinto</t>
  </si>
  <si>
    <t>40804012 Musiikkioppil. -  Opettaja/soveltuva ylempi korkeakoulututkinto</t>
  </si>
  <si>
    <t>40804014 Musiikkioppil. -  Opettaja/soveltuva ammattikorkeakoulututkinto, konservatorion jatkotutkinto tai entinen lehtorin kelpoisuus</t>
  </si>
  <si>
    <t>40804013 Musiikkioppil. -  Opettaja/muu soveltuva tutkinto tai entinen opettajan kelpoisuus</t>
  </si>
  <si>
    <t>40804008 Musiikkioppil. -  Ammatillisen koulutuksen opettaja/ykkt</t>
  </si>
  <si>
    <t>Amm.aikuisk.keskuksen kokaik.opettaja/Muu tutkinto</t>
  </si>
  <si>
    <t>42004003 Ammatilliset oppil. - Merenkulun koulutusalan laboratorioinsinööri</t>
  </si>
  <si>
    <t>40804009 Musiikkioppil. -  Ammatillisen koulutuksen opettaja/muu soveltuva tutkinto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</si>
</sst>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General_)"/>
    <numFmt numFmtId="175" formatCode="0.00000"/>
    <numFmt numFmtId="176" formatCode="0.000"/>
    <numFmt numFmtId="177" formatCode="0.0"/>
    <numFmt numFmtId="178" formatCode="0.0000"/>
    <numFmt numFmtId="179" formatCode="0.000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\ %"/>
    <numFmt numFmtId="187" formatCode="0.000\ %"/>
    <numFmt numFmtId="188" formatCode="0.0000\ %"/>
    <numFmt numFmtId="189" formatCode="0.00000\ %"/>
    <numFmt numFmtId="190" formatCode="0.000000\ %"/>
    <numFmt numFmtId="191" formatCode="#,##0.000\ _m_k;[Red]\-#,##0.000\ _m_k"/>
    <numFmt numFmtId="192" formatCode="#,##0.0000\ _m_k;[Red]\-#,##0.0000\ _m_k"/>
    <numFmt numFmtId="193" formatCode="#,##0.00000\ _m_k;[Red]\-#,##0.00000\ _m_k"/>
    <numFmt numFmtId="194" formatCode="#,##0.000000\ _m_k;[Red]\-#,##0.000000\ _m_k"/>
    <numFmt numFmtId="195" formatCode="#,##0.0000000\ _m_k;[Red]\-#,##0.0000000\ _m_k"/>
    <numFmt numFmtId="196" formatCode="&quot;Kyllä&quot;;&quot;Kyllä&quot;;&quot;Ei&quot;"/>
    <numFmt numFmtId="197" formatCode="&quot;Tosi&quot;;&quot;Tosi&quot;;&quot;Epätosi&quot;"/>
    <numFmt numFmtId="198" formatCode="&quot;Käytössä&quot;;&quot;Käytössä&quot;;&quot;Ei käytössä&quot;"/>
    <numFmt numFmtId="199" formatCode="#&quot; &quot;##&quot; &quot;##&quot; &quot;##&quot; &quot;#"/>
    <numFmt numFmtId="200" formatCode="0.00000000000"/>
  </numFmts>
  <fonts count="9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9"/>
      <name val="Arial Narrow"/>
      <family val="2"/>
    </font>
    <font>
      <b/>
      <sz val="9"/>
      <color indexed="53"/>
      <name val="Arial Narrow"/>
      <family val="2"/>
    </font>
    <font>
      <b/>
      <sz val="9"/>
      <color indexed="52"/>
      <name val="Arial Narrow"/>
      <family val="2"/>
    </font>
    <font>
      <b/>
      <sz val="8"/>
      <color indexed="16"/>
      <name val="Arial Narrow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6"/>
      <color indexed="16"/>
      <name val="Arial Narrow"/>
      <family val="2"/>
    </font>
    <font>
      <sz val="8"/>
      <color indexed="16"/>
      <name val="Arial Narrow"/>
      <family val="2"/>
    </font>
    <font>
      <b/>
      <sz val="8"/>
      <color indexed="14"/>
      <name val="Arial Narrow"/>
      <family val="2"/>
    </font>
    <font>
      <b/>
      <sz val="10"/>
      <color indexed="14"/>
      <name val="MS Sans Serif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MS Sans Serif"/>
      <family val="2"/>
    </font>
    <font>
      <b/>
      <sz val="8"/>
      <color indexed="10"/>
      <name val="Arial Narrow"/>
      <family val="2"/>
    </font>
    <font>
      <b/>
      <sz val="10"/>
      <color indexed="10"/>
      <name val="MS Sans Serif"/>
      <family val="2"/>
    </font>
    <font>
      <b/>
      <u val="single"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18"/>
      <name val="Arial Narrow"/>
      <family val="2"/>
    </font>
    <font>
      <b/>
      <sz val="8"/>
      <color indexed="9"/>
      <name val="Arial Narrow"/>
      <family val="2"/>
    </font>
    <font>
      <b/>
      <sz val="10"/>
      <color indexed="18"/>
      <name val="Arial Narrow"/>
      <family val="2"/>
    </font>
    <font>
      <sz val="10"/>
      <color indexed="9"/>
      <name val="MS Sans Serif"/>
      <family val="2"/>
    </font>
    <font>
      <sz val="9"/>
      <name val="MS Sans Serif"/>
      <family val="2"/>
    </font>
    <font>
      <sz val="10"/>
      <color indexed="10"/>
      <name val="Arial Narrow"/>
      <family val="2"/>
    </font>
    <font>
      <b/>
      <sz val="8"/>
      <name val="Tahoma"/>
      <family val="2"/>
    </font>
    <font>
      <b/>
      <sz val="8"/>
      <color indexed="18"/>
      <name val="Arial Narrow"/>
      <family val="2"/>
    </font>
    <font>
      <b/>
      <sz val="10"/>
      <color indexed="18"/>
      <name val="MS Sans Serif"/>
      <family val="2"/>
    </font>
    <font>
      <sz val="12"/>
      <name val="Arial Narrow"/>
      <family val="2"/>
    </font>
    <font>
      <sz val="6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 Narrow"/>
      <family val="2"/>
    </font>
    <font>
      <b/>
      <sz val="10"/>
      <color indexed="52"/>
      <name val="Arial Narrow"/>
      <family val="2"/>
    </font>
    <font>
      <b/>
      <sz val="8"/>
      <color indexed="52"/>
      <name val="Arial Narrow"/>
      <family val="2"/>
    </font>
    <font>
      <sz val="11"/>
      <name val="Calibri"/>
      <family val="2"/>
    </font>
    <font>
      <b/>
      <sz val="10"/>
      <color indexed="10"/>
      <name val="Arial Narrow"/>
      <family val="2"/>
    </font>
    <font>
      <sz val="10"/>
      <color indexed="52"/>
      <name val="MS Sans Serif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 Narrow"/>
      <family val="2"/>
    </font>
    <font>
      <b/>
      <sz val="10"/>
      <color theme="5" tint="-0.24997000396251678"/>
      <name val="Arial Narrow"/>
      <family val="2"/>
    </font>
    <font>
      <b/>
      <sz val="8"/>
      <color theme="5" tint="-0.24997000396251678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5" tint="-0.24997000396251678"/>
      <name val="MS Sans Serif"/>
      <family val="2"/>
    </font>
    <font>
      <b/>
      <sz val="8"/>
      <name val="MS Sans Serif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/>
      <right/>
      <top style="dotted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75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29" borderId="2" applyNumberFormat="0" applyAlignment="0" applyProtection="0"/>
    <xf numFmtId="0" fontId="78" fillId="0" borderId="3" applyNumberFormat="0" applyFill="0" applyAlignment="0" applyProtection="0"/>
    <xf numFmtId="0" fontId="79" fillId="30" borderId="0" applyNumberFormat="0" applyBorder="0" applyAlignment="0" applyProtection="0"/>
    <xf numFmtId="0" fontId="73" fillId="0" borderId="0">
      <alignment/>
      <protection/>
    </xf>
    <xf numFmtId="0" fontId="8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87" fillId="31" borderId="2" applyNumberFormat="0" applyAlignment="0" applyProtection="0"/>
    <xf numFmtId="0" fontId="88" fillId="32" borderId="8" applyNumberFormat="0" applyAlignment="0" applyProtection="0"/>
    <xf numFmtId="0" fontId="89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7" fontId="7" fillId="0" borderId="0" xfId="56" applyNumberFormat="1" applyFont="1" applyAlignment="1">
      <alignment/>
    </xf>
    <xf numFmtId="182" fontId="7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82" fontId="8" fillId="0" borderId="0" xfId="0" applyNumberFormat="1" applyFont="1" applyFill="1" applyAlignment="1">
      <alignment/>
    </xf>
    <xf numFmtId="187" fontId="8" fillId="0" borderId="0" xfId="56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182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7" fillId="34" borderId="0" xfId="0" applyNumberFormat="1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10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2" fontId="7" fillId="35" borderId="16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12" fillId="33" borderId="17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22" fillId="33" borderId="16" xfId="0" applyFont="1" applyFill="1" applyBorder="1" applyAlignment="1" applyProtection="1">
      <alignment vertical="top"/>
      <protection/>
    </xf>
    <xf numFmtId="0" fontId="16" fillId="33" borderId="18" xfId="0" applyFont="1" applyFill="1" applyBorder="1" applyAlignment="1" applyProtection="1">
      <alignment vertical="top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 horizontal="left"/>
      <protection/>
    </xf>
    <xf numFmtId="0" fontId="12" fillId="33" borderId="16" xfId="0" applyFont="1" applyFill="1" applyBorder="1" applyAlignment="1" applyProtection="1">
      <alignment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8" xfId="0" applyNumberFormat="1" applyFont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7" fillId="35" borderId="20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 quotePrefix="1">
      <alignment/>
      <protection/>
    </xf>
    <xf numFmtId="4" fontId="8" fillId="35" borderId="0" xfId="0" applyNumberFormat="1" applyFont="1" applyFill="1" applyBorder="1" applyAlignment="1" applyProtection="1">
      <alignment horizontal="right"/>
      <protection/>
    </xf>
    <xf numFmtId="2" fontId="19" fillId="33" borderId="11" xfId="0" applyNumberFormat="1" applyFont="1" applyFill="1" applyBorder="1" applyAlignment="1" applyProtection="1">
      <alignment vertical="top"/>
      <protection/>
    </xf>
    <xf numFmtId="0" fontId="16" fillId="33" borderId="18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2" fontId="8" fillId="33" borderId="0" xfId="0" applyNumberFormat="1" applyFont="1" applyFill="1" applyBorder="1" applyAlignment="1" applyProtection="1">
      <alignment horizontal="left"/>
      <protection/>
    </xf>
    <xf numFmtId="0" fontId="7" fillId="33" borderId="19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 quotePrefix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22" fillId="33" borderId="11" xfId="0" applyFont="1" applyFill="1" applyBorder="1" applyAlignment="1" applyProtection="1">
      <alignment vertical="top"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36" borderId="24" xfId="0" applyFont="1" applyFill="1" applyBorder="1" applyAlignment="1" applyProtection="1">
      <alignment/>
      <protection/>
    </xf>
    <xf numFmtId="2" fontId="12" fillId="35" borderId="11" xfId="0" applyNumberFormat="1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left" vertical="top"/>
      <protection/>
    </xf>
    <xf numFmtId="0" fontId="8" fillId="36" borderId="25" xfId="0" applyFont="1" applyFill="1" applyBorder="1" applyAlignment="1" applyProtection="1">
      <alignment/>
      <protection/>
    </xf>
    <xf numFmtId="0" fontId="7" fillId="36" borderId="26" xfId="0" applyFont="1" applyFill="1" applyBorder="1" applyAlignment="1" applyProtection="1">
      <alignment/>
      <protection/>
    </xf>
    <xf numFmtId="2" fontId="8" fillId="0" borderId="27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/>
      <protection/>
    </xf>
    <xf numFmtId="0" fontId="10" fillId="33" borderId="2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2" fillId="33" borderId="0" xfId="0" applyFont="1" applyFill="1" applyBorder="1" applyAlignment="1" applyProtection="1">
      <alignment vertical="top"/>
      <protection/>
    </xf>
    <xf numFmtId="0" fontId="19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 vertical="top"/>
      <protection/>
    </xf>
    <xf numFmtId="0" fontId="12" fillId="33" borderId="11" xfId="0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" fontId="7" fillId="35" borderId="14" xfId="0" applyNumberFormat="1" applyFont="1" applyFill="1" applyBorder="1" applyAlignment="1" applyProtection="1">
      <alignment horizontal="right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2" xfId="0" applyFont="1" applyFill="1" applyBorder="1" applyAlignment="1" applyProtection="1" quotePrefix="1">
      <alignment/>
      <protection/>
    </xf>
    <xf numFmtId="4" fontId="8" fillId="35" borderId="22" xfId="0" applyNumberFormat="1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27" fillId="0" borderId="11" xfId="0" applyFont="1" applyBorder="1" applyAlignment="1">
      <alignment/>
    </xf>
    <xf numFmtId="182" fontId="8" fillId="0" borderId="0" xfId="0" applyNumberFormat="1" applyFont="1" applyFill="1" applyBorder="1" applyAlignment="1">
      <alignment/>
    </xf>
    <xf numFmtId="182" fontId="8" fillId="0" borderId="0" xfId="0" applyNumberFormat="1" applyFont="1" applyFill="1" applyBorder="1" applyAlignment="1" quotePrefix="1">
      <alignment/>
    </xf>
    <xf numFmtId="10" fontId="7" fillId="0" borderId="0" xfId="56" applyNumberFormat="1" applyFont="1" applyAlignment="1">
      <alignment/>
    </xf>
    <xf numFmtId="0" fontId="8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182" fontId="7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/>
    </xf>
    <xf numFmtId="0" fontId="7" fillId="0" borderId="33" xfId="0" applyFont="1" applyBorder="1" applyAlignment="1">
      <alignment horizontal="left"/>
    </xf>
    <xf numFmtId="0" fontId="7" fillId="0" borderId="26" xfId="0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8" xfId="0" applyFont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2" fontId="7" fillId="33" borderId="12" xfId="0" applyNumberFormat="1" applyFont="1" applyFill="1" applyBorder="1" applyAlignment="1" applyProtection="1">
      <alignment/>
      <protection/>
    </xf>
    <xf numFmtId="176" fontId="7" fillId="0" borderId="0" xfId="0" applyNumberFormat="1" applyFont="1" applyBorder="1" applyAlignment="1">
      <alignment horizontal="right"/>
    </xf>
    <xf numFmtId="0" fontId="8" fillId="35" borderId="21" xfId="0" applyFont="1" applyFill="1" applyBorder="1" applyAlignment="1" applyProtection="1">
      <alignment horizontal="left"/>
      <protection/>
    </xf>
    <xf numFmtId="2" fontId="7" fillId="35" borderId="20" xfId="0" applyNumberFormat="1" applyFont="1" applyFill="1" applyBorder="1" applyAlignment="1" applyProtection="1">
      <alignment/>
      <protection/>
    </xf>
    <xf numFmtId="0" fontId="7" fillId="35" borderId="32" xfId="0" applyFont="1" applyFill="1" applyBorder="1" applyAlignment="1" applyProtection="1">
      <alignment/>
      <protection/>
    </xf>
    <xf numFmtId="0" fontId="28" fillId="35" borderId="18" xfId="0" applyFont="1" applyFill="1" applyBorder="1" applyAlignment="1" applyProtection="1">
      <alignment horizontal="left"/>
      <protection/>
    </xf>
    <xf numFmtId="0" fontId="8" fillId="35" borderId="20" xfId="0" applyFont="1" applyFill="1" applyBorder="1" applyAlignment="1" applyProtection="1">
      <alignment/>
      <protection/>
    </xf>
    <xf numFmtId="0" fontId="7" fillId="34" borderId="19" xfId="0" applyFont="1" applyFill="1" applyBorder="1" applyAlignment="1" applyProtection="1">
      <alignment horizontal="left"/>
      <protection/>
    </xf>
    <xf numFmtId="2" fontId="8" fillId="34" borderId="16" xfId="0" applyNumberFormat="1" applyFont="1" applyFill="1" applyBorder="1" applyAlignment="1" applyProtection="1">
      <alignment/>
      <protection/>
    </xf>
    <xf numFmtId="2" fontId="8" fillId="34" borderId="16" xfId="0" applyNumberFormat="1" applyFont="1" applyFill="1" applyBorder="1" applyAlignment="1" applyProtection="1" quotePrefix="1">
      <alignment/>
      <protection/>
    </xf>
    <xf numFmtId="4" fontId="8" fillId="34" borderId="16" xfId="0" applyNumberFormat="1" applyFont="1" applyFill="1" applyBorder="1" applyAlignment="1" applyProtection="1">
      <alignment horizontal="right"/>
      <protection/>
    </xf>
    <xf numFmtId="0" fontId="8" fillId="34" borderId="17" xfId="0" applyFont="1" applyFill="1" applyBorder="1" applyAlignment="1" applyProtection="1">
      <alignment/>
      <protection/>
    </xf>
    <xf numFmtId="2" fontId="7" fillId="33" borderId="15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8" fillId="35" borderId="22" xfId="0" applyFont="1" applyFill="1" applyBorder="1" applyAlignment="1" applyProtection="1" quotePrefix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3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7" fillId="35" borderId="20" xfId="0" applyFont="1" applyFill="1" applyBorder="1" applyAlignment="1" applyProtection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7" fillId="35" borderId="18" xfId="0" applyFont="1" applyFill="1" applyBorder="1" applyAlignment="1" applyProtection="1" quotePrefix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19" fillId="33" borderId="11" xfId="0" applyFont="1" applyFill="1" applyBorder="1" applyAlignment="1" applyProtection="1">
      <alignment vertical="top"/>
      <protection/>
    </xf>
    <xf numFmtId="0" fontId="7" fillId="35" borderId="15" xfId="0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19" fillId="33" borderId="16" xfId="0" applyFont="1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0" fontId="19" fillId="33" borderId="14" xfId="0" applyFont="1" applyFill="1" applyBorder="1" applyAlignment="1" applyProtection="1">
      <alignment vertical="top"/>
      <protection/>
    </xf>
    <xf numFmtId="2" fontId="19" fillId="33" borderId="0" xfId="0" applyNumberFormat="1" applyFont="1" applyFill="1" applyBorder="1" applyAlignment="1" applyProtection="1">
      <alignment vertical="top"/>
      <protection/>
    </xf>
    <xf numFmtId="0" fontId="8" fillId="35" borderId="22" xfId="0" applyFont="1" applyFill="1" applyBorder="1" applyAlignment="1" applyProtection="1">
      <alignment/>
      <protection/>
    </xf>
    <xf numFmtId="2" fontId="19" fillId="33" borderId="0" xfId="0" applyNumberFormat="1" applyFont="1" applyFill="1" applyBorder="1" applyAlignment="1" applyProtection="1">
      <alignment/>
      <protection/>
    </xf>
    <xf numFmtId="2" fontId="8" fillId="33" borderId="14" xfId="0" applyNumberFormat="1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top"/>
      <protection/>
    </xf>
    <xf numFmtId="2" fontId="13" fillId="33" borderId="16" xfId="0" applyNumberFormat="1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/>
      <protection/>
    </xf>
    <xf numFmtId="0" fontId="7" fillId="37" borderId="19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 horizontal="left" vertical="top"/>
      <protection/>
    </xf>
    <xf numFmtId="0" fontId="7" fillId="33" borderId="28" xfId="0" applyFont="1" applyFill="1" applyBorder="1" applyAlignment="1" applyProtection="1">
      <alignment horizontal="left"/>
      <protection/>
    </xf>
    <xf numFmtId="0" fontId="7" fillId="33" borderId="4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8" fillId="0" borderId="33" xfId="0" applyNumberFormat="1" applyFont="1" applyBorder="1" applyAlignment="1">
      <alignment/>
    </xf>
    <xf numFmtId="0" fontId="19" fillId="33" borderId="19" xfId="0" applyFont="1" applyFill="1" applyBorder="1" applyAlignment="1" applyProtection="1">
      <alignment vertical="top"/>
      <protection/>
    </xf>
    <xf numFmtId="2" fontId="13" fillId="33" borderId="17" xfId="0" applyNumberFormat="1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vertical="top" wrapText="1"/>
      <protection/>
    </xf>
    <xf numFmtId="4" fontId="8" fillId="35" borderId="0" xfId="0" applyNumberFormat="1" applyFont="1" applyFill="1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2" fontId="8" fillId="36" borderId="20" xfId="0" applyNumberFormat="1" applyFont="1" applyFill="1" applyBorder="1" applyAlignment="1" applyProtection="1" quotePrefix="1">
      <alignment/>
      <protection/>
    </xf>
    <xf numFmtId="0" fontId="8" fillId="36" borderId="32" xfId="0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34" fillId="0" borderId="11" xfId="0" applyFont="1" applyBorder="1" applyAlignment="1">
      <alignment/>
    </xf>
    <xf numFmtId="182" fontId="8" fillId="0" borderId="11" xfId="0" applyNumberFormat="1" applyFont="1" applyBorder="1" applyAlignment="1">
      <alignment/>
    </xf>
    <xf numFmtId="187" fontId="8" fillId="0" borderId="0" xfId="56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10" fontId="7" fillId="0" borderId="0" xfId="56" applyNumberFormat="1" applyFont="1" applyBorder="1" applyAlignment="1">
      <alignment/>
    </xf>
    <xf numFmtId="2" fontId="35" fillId="0" borderId="0" xfId="0" applyNumberFormat="1" applyFont="1" applyAlignment="1">
      <alignment/>
    </xf>
    <xf numFmtId="4" fontId="8" fillId="36" borderId="16" xfId="0" applyNumberFormat="1" applyFont="1" applyFill="1" applyBorder="1" applyAlignment="1" applyProtection="1">
      <alignment horizontal="right"/>
      <protection/>
    </xf>
    <xf numFmtId="4" fontId="8" fillId="36" borderId="13" xfId="0" applyNumberFormat="1" applyFont="1" applyFill="1" applyBorder="1" applyAlignment="1" applyProtection="1">
      <alignment horizontal="right"/>
      <protection/>
    </xf>
    <xf numFmtId="0" fontId="7" fillId="36" borderId="36" xfId="0" applyFont="1" applyFill="1" applyBorder="1" applyAlignment="1" applyProtection="1">
      <alignment/>
      <protection/>
    </xf>
    <xf numFmtId="4" fontId="8" fillId="36" borderId="36" xfId="0" applyNumberFormat="1" applyFont="1" applyFill="1" applyBorder="1" applyAlignment="1" applyProtection="1">
      <alignment horizontal="right"/>
      <protection/>
    </xf>
    <xf numFmtId="0" fontId="8" fillId="36" borderId="41" xfId="0" applyFont="1" applyFill="1" applyBorder="1" applyAlignment="1" applyProtection="1">
      <alignment/>
      <protection/>
    </xf>
    <xf numFmtId="0" fontId="19" fillId="33" borderId="19" xfId="0" applyFont="1" applyFill="1" applyBorder="1" applyAlignment="1" applyProtection="1">
      <alignment vertical="top" wrapText="1"/>
      <protection/>
    </xf>
    <xf numFmtId="0" fontId="7" fillId="33" borderId="18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4" fontId="8" fillId="34" borderId="16" xfId="0" applyNumberFormat="1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 horizontal="left"/>
      <protection/>
    </xf>
    <xf numFmtId="0" fontId="7" fillId="36" borderId="42" xfId="0" applyFont="1" applyFill="1" applyBorder="1" applyAlignment="1" applyProtection="1">
      <alignment/>
      <protection/>
    </xf>
    <xf numFmtId="2" fontId="16" fillId="33" borderId="0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/>
      <protection/>
    </xf>
    <xf numFmtId="2" fontId="8" fillId="36" borderId="20" xfId="0" applyNumberFormat="1" applyFont="1" applyFill="1" applyBorder="1" applyAlignment="1" applyProtection="1">
      <alignment horizontal="center"/>
      <protection/>
    </xf>
    <xf numFmtId="0" fontId="8" fillId="36" borderId="43" xfId="0" applyFont="1" applyFill="1" applyBorder="1" applyAlignment="1" applyProtection="1">
      <alignment horizontal="left"/>
      <protection/>
    </xf>
    <xf numFmtId="0" fontId="8" fillId="36" borderId="44" xfId="0" applyFont="1" applyFill="1" applyBorder="1" applyAlignment="1" applyProtection="1">
      <alignment horizontal="left"/>
      <protection/>
    </xf>
    <xf numFmtId="2" fontId="8" fillId="36" borderId="45" xfId="0" applyNumberFormat="1" applyFont="1" applyFill="1" applyBorder="1" applyAlignment="1" applyProtection="1">
      <alignment/>
      <protection/>
    </xf>
    <xf numFmtId="0" fontId="16" fillId="33" borderId="18" xfId="0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/>
      <protection/>
    </xf>
    <xf numFmtId="2" fontId="16" fillId="33" borderId="14" xfId="0" applyNumberFormat="1" applyFont="1" applyFill="1" applyBorder="1" applyAlignment="1" applyProtection="1">
      <alignment/>
      <protection/>
    </xf>
    <xf numFmtId="2" fontId="16" fillId="33" borderId="18" xfId="0" applyNumberFormat="1" applyFont="1" applyFill="1" applyBorder="1" applyAlignment="1" applyProtection="1">
      <alignment/>
      <protection/>
    </xf>
    <xf numFmtId="0" fontId="13" fillId="33" borderId="15" xfId="0" applyFont="1" applyFill="1" applyBorder="1" applyAlignment="1" applyProtection="1">
      <alignment vertical="top" wrapText="1"/>
      <protection/>
    </xf>
    <xf numFmtId="0" fontId="21" fillId="33" borderId="12" xfId="0" applyFont="1" applyFill="1" applyBorder="1" applyAlignment="1" applyProtection="1">
      <alignment vertical="top"/>
      <protection/>
    </xf>
    <xf numFmtId="0" fontId="13" fillId="33" borderId="11" xfId="0" applyFont="1" applyFill="1" applyBorder="1" applyAlignment="1" applyProtection="1">
      <alignment wrapText="1"/>
      <protection/>
    </xf>
    <xf numFmtId="10" fontId="7" fillId="0" borderId="0" xfId="56" applyNumberFormat="1" applyFont="1" applyBorder="1" applyAlignment="1">
      <alignment horizontal="right"/>
    </xf>
    <xf numFmtId="0" fontId="0" fillId="0" borderId="36" xfId="0" applyBorder="1" applyAlignment="1">
      <alignment/>
    </xf>
    <xf numFmtId="2" fontId="13" fillId="33" borderId="0" xfId="0" applyNumberFormat="1" applyFont="1" applyFill="1" applyBorder="1" applyAlignment="1" applyProtection="1">
      <alignment/>
      <protection/>
    </xf>
    <xf numFmtId="2" fontId="16" fillId="33" borderId="18" xfId="0" applyNumberFormat="1" applyFont="1" applyFill="1" applyBorder="1" applyAlignment="1" applyProtection="1">
      <alignment vertical="top"/>
      <protection/>
    </xf>
    <xf numFmtId="177" fontId="8" fillId="33" borderId="0" xfId="0" applyNumberFormat="1" applyFont="1" applyFill="1" applyBorder="1" applyAlignment="1" applyProtection="1">
      <alignment horizontal="center"/>
      <protection/>
    </xf>
    <xf numFmtId="0" fontId="8" fillId="35" borderId="18" xfId="0" applyFont="1" applyFill="1" applyBorder="1" applyAlignment="1" applyProtection="1">
      <alignment horizontal="left"/>
      <protection/>
    </xf>
    <xf numFmtId="2" fontId="7" fillId="33" borderId="19" xfId="0" applyNumberFormat="1" applyFont="1" applyFill="1" applyBorder="1" applyAlignment="1" applyProtection="1">
      <alignment/>
      <protection/>
    </xf>
    <xf numFmtId="2" fontId="8" fillId="34" borderId="10" xfId="0" applyNumberFormat="1" applyFont="1" applyFill="1" applyBorder="1" applyAlignment="1" applyProtection="1">
      <alignment horizontal="center"/>
      <protection locked="0"/>
    </xf>
    <xf numFmtId="177" fontId="8" fillId="34" borderId="32" xfId="0" applyNumberFormat="1" applyFont="1" applyFill="1" applyBorder="1" applyAlignment="1" applyProtection="1">
      <alignment horizontal="center"/>
      <protection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31" fillId="33" borderId="11" xfId="0" applyNumberFormat="1" applyFont="1" applyFill="1" applyBorder="1" applyAlignment="1" applyProtection="1">
      <alignment vertical="top"/>
      <protection/>
    </xf>
    <xf numFmtId="0" fontId="32" fillId="33" borderId="12" xfId="0" applyFont="1" applyFill="1" applyBorder="1" applyAlignment="1" applyProtection="1">
      <alignment vertical="top"/>
      <protection/>
    </xf>
    <xf numFmtId="2" fontId="8" fillId="33" borderId="15" xfId="0" applyNumberFormat="1" applyFont="1" applyFill="1" applyBorder="1" applyAlignment="1" applyProtection="1">
      <alignment/>
      <protection/>
    </xf>
    <xf numFmtId="0" fontId="19" fillId="33" borderId="12" xfId="0" applyFont="1" applyFill="1" applyBorder="1" applyAlignment="1" applyProtection="1">
      <alignment vertical="top"/>
      <protection/>
    </xf>
    <xf numFmtId="0" fontId="0" fillId="33" borderId="17" xfId="0" applyFill="1" applyBorder="1" applyAlignment="1" applyProtection="1">
      <alignment vertical="top"/>
      <protection/>
    </xf>
    <xf numFmtId="0" fontId="0" fillId="33" borderId="19" xfId="0" applyFill="1" applyBorder="1" applyAlignment="1" applyProtection="1">
      <alignment vertical="top"/>
      <protection/>
    </xf>
    <xf numFmtId="0" fontId="40" fillId="34" borderId="0" xfId="0" applyFont="1" applyFill="1" applyAlignment="1" applyProtection="1">
      <alignment/>
      <protection/>
    </xf>
    <xf numFmtId="10" fontId="8" fillId="0" borderId="0" xfId="56" applyNumberFormat="1" applyFont="1" applyBorder="1" applyAlignment="1">
      <alignment/>
    </xf>
    <xf numFmtId="2" fontId="8" fillId="35" borderId="13" xfId="0" applyNumberFormat="1" applyFont="1" applyFill="1" applyBorder="1" applyAlignment="1" applyProtection="1" quotePrefix="1">
      <alignment/>
      <protection/>
    </xf>
    <xf numFmtId="0" fontId="44" fillId="0" borderId="0" xfId="0" applyFont="1" applyAlignment="1">
      <alignment/>
    </xf>
    <xf numFmtId="0" fontId="91" fillId="0" borderId="0" xfId="0" applyFont="1" applyAlignment="1">
      <alignment/>
    </xf>
    <xf numFmtId="2" fontId="7" fillId="0" borderId="0" xfId="0" applyNumberFormat="1" applyFont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199" fontId="7" fillId="0" borderId="0" xfId="0" applyNumberFormat="1" applyFont="1" applyAlignment="1">
      <alignment/>
    </xf>
    <xf numFmtId="199" fontId="7" fillId="0" borderId="0" xfId="0" applyNumberFormat="1" applyFont="1" applyAlignment="1">
      <alignment horizontal="left"/>
    </xf>
    <xf numFmtId="0" fontId="92" fillId="38" borderId="14" xfId="0" applyFont="1" applyFill="1" applyBorder="1" applyAlignment="1" applyProtection="1">
      <alignment vertical="top"/>
      <protection/>
    </xf>
    <xf numFmtId="0" fontId="7" fillId="38" borderId="14" xfId="0" applyFont="1" applyFill="1" applyBorder="1" applyAlignment="1" applyProtection="1">
      <alignment/>
      <protection/>
    </xf>
    <xf numFmtId="0" fontId="36" fillId="38" borderId="14" xfId="0" applyFont="1" applyFill="1" applyBorder="1" applyAlignment="1" applyProtection="1">
      <alignment/>
      <protection/>
    </xf>
    <xf numFmtId="0" fontId="93" fillId="38" borderId="0" xfId="0" applyFont="1" applyFill="1" applyBorder="1" applyAlignment="1" applyProtection="1">
      <alignment horizontal="left"/>
      <protection/>
    </xf>
    <xf numFmtId="0" fontId="7" fillId="38" borderId="0" xfId="0" applyFont="1" applyFill="1" applyBorder="1" applyAlignment="1" applyProtection="1">
      <alignment/>
      <protection/>
    </xf>
    <xf numFmtId="0" fontId="38" fillId="38" borderId="0" xfId="0" applyFont="1" applyFill="1" applyBorder="1" applyAlignment="1" applyProtection="1">
      <alignment vertical="top" wrapText="1"/>
      <protection/>
    </xf>
    <xf numFmtId="0" fontId="93" fillId="38" borderId="0" xfId="0" applyFont="1" applyFill="1" applyBorder="1" applyAlignment="1" applyProtection="1">
      <alignment/>
      <protection/>
    </xf>
    <xf numFmtId="0" fontId="93" fillId="38" borderId="0" xfId="0" applyFont="1" applyFill="1" applyBorder="1" applyAlignment="1" applyProtection="1">
      <alignment/>
      <protection/>
    </xf>
    <xf numFmtId="0" fontId="7" fillId="37" borderId="18" xfId="0" applyFont="1" applyFill="1" applyBorder="1" applyAlignment="1" applyProtection="1">
      <alignment/>
      <protection locked="0"/>
    </xf>
    <xf numFmtId="0" fontId="7" fillId="37" borderId="11" xfId="0" applyFont="1" applyFill="1" applyBorder="1" applyAlignment="1" applyProtection="1">
      <alignment/>
      <protection locked="0"/>
    </xf>
    <xf numFmtId="0" fontId="7" fillId="37" borderId="19" xfId="0" applyFont="1" applyFill="1" applyBorder="1" applyAlignment="1" applyProtection="1">
      <alignment/>
      <protection locked="0"/>
    </xf>
    <xf numFmtId="0" fontId="7" fillId="37" borderId="18" xfId="0" applyFont="1" applyFill="1" applyBorder="1" applyAlignment="1" applyProtection="1">
      <alignment/>
      <protection/>
    </xf>
    <xf numFmtId="0" fontId="7" fillId="0" borderId="3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38" borderId="12" xfId="0" applyFont="1" applyFill="1" applyBorder="1" applyAlignment="1" applyProtection="1">
      <alignment/>
      <protection locked="0"/>
    </xf>
    <xf numFmtId="2" fontId="37" fillId="39" borderId="0" xfId="0" applyNumberFormat="1" applyFont="1" applyFill="1" applyAlignment="1">
      <alignment/>
    </xf>
    <xf numFmtId="2" fontId="7" fillId="0" borderId="47" xfId="0" applyNumberFormat="1" applyFont="1" applyBorder="1" applyAlignment="1">
      <alignment/>
    </xf>
    <xf numFmtId="0" fontId="0" fillId="0" borderId="38" xfId="0" applyBorder="1" applyAlignment="1">
      <alignment/>
    </xf>
    <xf numFmtId="2" fontId="7" fillId="0" borderId="35" xfId="0" applyNumberFormat="1" applyFont="1" applyBorder="1" applyAlignment="1">
      <alignment/>
    </xf>
    <xf numFmtId="2" fontId="7" fillId="0" borderId="36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2" fontId="7" fillId="0" borderId="46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0" fillId="0" borderId="0" xfId="0" applyFont="1" applyAlignment="1">
      <alignment/>
    </xf>
    <xf numFmtId="4" fontId="8" fillId="35" borderId="13" xfId="0" applyNumberFormat="1" applyFont="1" applyFill="1" applyBorder="1" applyAlignment="1" applyProtection="1" quotePrefix="1">
      <alignment/>
      <protection/>
    </xf>
    <xf numFmtId="1" fontId="8" fillId="34" borderId="10" xfId="0" applyNumberFormat="1" applyFont="1" applyFill="1" applyBorder="1" applyAlignment="1" applyProtection="1">
      <alignment horizontal="center"/>
      <protection locked="0"/>
    </xf>
    <xf numFmtId="0" fontId="7" fillId="35" borderId="18" xfId="0" applyFont="1" applyFill="1" applyBorder="1" applyAlignment="1" applyProtection="1" quotePrefix="1">
      <alignment vertical="center"/>
      <protection/>
    </xf>
    <xf numFmtId="40" fontId="7" fillId="0" borderId="0" xfId="54" applyFont="1" applyBorder="1" applyAlignment="1">
      <alignment/>
    </xf>
    <xf numFmtId="0" fontId="47" fillId="0" borderId="0" xfId="0" applyFont="1" applyAlignment="1">
      <alignment wrapText="1"/>
    </xf>
    <xf numFmtId="0" fontId="7" fillId="0" borderId="0" xfId="0" applyFont="1" applyAlignment="1">
      <alignment/>
    </xf>
    <xf numFmtId="0" fontId="47" fillId="0" borderId="51" xfId="0" applyFont="1" applyBorder="1" applyAlignment="1">
      <alignment wrapText="1"/>
    </xf>
    <xf numFmtId="0" fontId="7" fillId="0" borderId="52" xfId="0" applyFont="1" applyBorder="1" applyAlignment="1">
      <alignment wrapText="1"/>
    </xf>
    <xf numFmtId="0" fontId="7" fillId="0" borderId="52" xfId="47" applyFont="1" applyBorder="1" applyAlignment="1">
      <alignment wrapText="1"/>
      <protection/>
    </xf>
    <xf numFmtId="0" fontId="7" fillId="0" borderId="51" xfId="0" applyFont="1" applyBorder="1" applyAlignment="1">
      <alignment wrapText="1"/>
    </xf>
    <xf numFmtId="2" fontId="47" fillId="0" borderId="0" xfId="0" applyNumberFormat="1" applyFont="1" applyAlignment="1">
      <alignment horizontal="center"/>
    </xf>
    <xf numFmtId="0" fontId="6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7" fillId="0" borderId="0" xfId="0" applyFont="1" applyAlignment="1">
      <alignment horizontal="center"/>
    </xf>
    <xf numFmtId="4" fontId="69" fillId="0" borderId="0" xfId="0" applyNumberFormat="1" applyFont="1" applyAlignment="1">
      <alignment wrapText="1"/>
    </xf>
    <xf numFmtId="187" fontId="7" fillId="0" borderId="0" xfId="0" applyNumberFormat="1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47" fillId="0" borderId="52" xfId="47" applyNumberFormat="1" applyFont="1" applyBorder="1" applyAlignment="1">
      <alignment horizontal="center"/>
      <protection/>
    </xf>
    <xf numFmtId="0" fontId="7" fillId="0" borderId="52" xfId="0" applyFont="1" applyBorder="1" applyAlignment="1">
      <alignment horizontal="left" wrapText="1"/>
    </xf>
    <xf numFmtId="0" fontId="7" fillId="0" borderId="51" xfId="0" applyFont="1" applyBorder="1" applyAlignment="1">
      <alignment horizontal="left" wrapText="1"/>
    </xf>
    <xf numFmtId="199" fontId="46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" fontId="47" fillId="0" borderId="51" xfId="47" applyNumberFormat="1" applyFont="1" applyBorder="1" applyAlignment="1">
      <alignment horizontal="center"/>
      <protection/>
    </xf>
    <xf numFmtId="4" fontId="7" fillId="0" borderId="0" xfId="0" applyNumberFormat="1" applyFont="1" applyAlignment="1">
      <alignment wrapText="1"/>
    </xf>
    <xf numFmtId="4" fontId="7" fillId="0" borderId="52" xfId="0" applyNumberFormat="1" applyFont="1" applyBorder="1" applyAlignment="1">
      <alignment wrapText="1"/>
    </xf>
    <xf numFmtId="0" fontId="7" fillId="0" borderId="53" xfId="0" applyFont="1" applyBorder="1" applyAlignment="1">
      <alignment wrapText="1"/>
    </xf>
    <xf numFmtId="4" fontId="47" fillId="0" borderId="0" xfId="0" applyNumberFormat="1" applyFont="1" applyAlignment="1">
      <alignment horizontal="center"/>
    </xf>
    <xf numFmtId="4" fontId="47" fillId="0" borderId="51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94" fillId="0" borderId="0" xfId="0" applyNumberFormat="1" applyFont="1" applyBorder="1" applyAlignment="1">
      <alignment/>
    </xf>
    <xf numFmtId="2" fontId="94" fillId="0" borderId="0" xfId="0" applyNumberFormat="1" applyFont="1" applyAlignment="1">
      <alignment/>
    </xf>
    <xf numFmtId="2" fontId="95" fillId="39" borderId="0" xfId="0" applyNumberFormat="1" applyFont="1" applyFill="1" applyAlignment="1">
      <alignment/>
    </xf>
    <xf numFmtId="2" fontId="7" fillId="0" borderId="54" xfId="0" applyNumberFormat="1" applyFont="1" applyBorder="1" applyAlignment="1">
      <alignment/>
    </xf>
    <xf numFmtId="2" fontId="7" fillId="0" borderId="48" xfId="0" applyNumberFormat="1" applyFont="1" applyBorder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4" fontId="47" fillId="0" borderId="55" xfId="47" applyNumberFormat="1" applyFont="1" applyBorder="1" applyAlignment="1">
      <alignment horizontal="center"/>
      <protection/>
    </xf>
    <xf numFmtId="0" fontId="7" fillId="0" borderId="51" xfId="47" applyFont="1" applyBorder="1" applyAlignment="1">
      <alignment wrapText="1"/>
      <protection/>
    </xf>
    <xf numFmtId="0" fontId="47" fillId="0" borderId="0" xfId="47" applyFont="1" applyAlignment="1">
      <alignment horizontal="center"/>
      <protection/>
    </xf>
    <xf numFmtId="0" fontId="7" fillId="0" borderId="55" xfId="47" applyFont="1" applyBorder="1" applyAlignment="1">
      <alignment wrapText="1"/>
      <protection/>
    </xf>
    <xf numFmtId="14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14" fontId="47" fillId="0" borderId="0" xfId="0" applyNumberFormat="1" applyFont="1" applyAlignment="1">
      <alignment horizontal="center"/>
    </xf>
    <xf numFmtId="0" fontId="47" fillId="0" borderId="51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199" fontId="47" fillId="0" borderId="52" xfId="0" applyNumberFormat="1" applyFont="1" applyBorder="1" applyAlignment="1">
      <alignment horizontal="left"/>
    </xf>
    <xf numFmtId="4" fontId="47" fillId="0" borderId="55" xfId="0" applyNumberFormat="1" applyFont="1" applyBorder="1" applyAlignment="1">
      <alignment horizontal="center"/>
    </xf>
    <xf numFmtId="4" fontId="47" fillId="0" borderId="52" xfId="0" applyNumberFormat="1" applyFont="1" applyBorder="1" applyAlignment="1">
      <alignment horizontal="center"/>
    </xf>
    <xf numFmtId="199" fontId="47" fillId="0" borderId="0" xfId="0" applyNumberFormat="1" applyFont="1" applyAlignment="1">
      <alignment horizontal="left"/>
    </xf>
    <xf numFmtId="0" fontId="7" fillId="0" borderId="55" xfId="0" applyFont="1" applyBorder="1" applyAlignment="1">
      <alignment horizontal="left" wrapText="1"/>
    </xf>
    <xf numFmtId="0" fontId="7" fillId="0" borderId="52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46" fillId="0" borderId="51" xfId="0" applyFont="1" applyBorder="1" applyAlignment="1">
      <alignment horizontal="left"/>
    </xf>
    <xf numFmtId="0" fontId="47" fillId="0" borderId="0" xfId="47" applyFont="1" applyAlignment="1">
      <alignment horizontal="left"/>
      <protection/>
    </xf>
    <xf numFmtId="0" fontId="69" fillId="0" borderId="51" xfId="0" applyFont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2" fontId="7" fillId="0" borderId="56" xfId="0" applyNumberFormat="1" applyFont="1" applyBorder="1" applyAlignment="1">
      <alignment/>
    </xf>
    <xf numFmtId="2" fontId="7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2" fontId="7" fillId="0" borderId="0" xfId="56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7" fillId="38" borderId="0" xfId="0" applyFont="1" applyFill="1" applyAlignment="1" applyProtection="1">
      <alignment/>
      <protection/>
    </xf>
    <xf numFmtId="200" fontId="7" fillId="0" borderId="0" xfId="0" applyNumberFormat="1" applyFont="1" applyAlignment="1">
      <alignment/>
    </xf>
    <xf numFmtId="200" fontId="8" fillId="0" borderId="18" xfId="0" applyNumberFormat="1" applyFont="1" applyBorder="1" applyAlignment="1">
      <alignment/>
    </xf>
    <xf numFmtId="200" fontId="8" fillId="0" borderId="14" xfId="0" applyNumberFormat="1" applyFont="1" applyBorder="1" applyAlignment="1">
      <alignment/>
    </xf>
    <xf numFmtId="200" fontId="8" fillId="0" borderId="15" xfId="0" applyNumberFormat="1" applyFont="1" applyBorder="1" applyAlignment="1">
      <alignment/>
    </xf>
    <xf numFmtId="200" fontId="8" fillId="0" borderId="11" xfId="0" applyNumberFormat="1" applyFont="1" applyBorder="1" applyAlignment="1">
      <alignment/>
    </xf>
    <xf numFmtId="200" fontId="8" fillId="0" borderId="0" xfId="0" applyNumberFormat="1" applyFont="1" applyBorder="1" applyAlignment="1">
      <alignment horizontal="center"/>
    </xf>
    <xf numFmtId="200" fontId="8" fillId="0" borderId="12" xfId="0" applyNumberFormat="1" applyFont="1" applyBorder="1" applyAlignment="1">
      <alignment horizontal="center"/>
    </xf>
    <xf numFmtId="200" fontId="7" fillId="0" borderId="0" xfId="0" applyNumberFormat="1" applyFont="1" applyBorder="1" applyAlignment="1">
      <alignment/>
    </xf>
    <xf numFmtId="200" fontId="7" fillId="0" borderId="12" xfId="0" applyNumberFormat="1" applyFont="1" applyBorder="1" applyAlignment="1">
      <alignment/>
    </xf>
    <xf numFmtId="0" fontId="96" fillId="38" borderId="15" xfId="0" applyFont="1" applyFill="1" applyBorder="1" applyAlignment="1" applyProtection="1">
      <alignment vertic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46" xfId="0" applyBorder="1" applyAlignment="1">
      <alignment/>
    </xf>
    <xf numFmtId="10" fontId="46" fillId="0" borderId="0" xfId="0" applyNumberFormat="1" applyFont="1" applyAlignment="1">
      <alignment horizontal="left"/>
    </xf>
    <xf numFmtId="187" fontId="7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69" fillId="0" borderId="0" xfId="0" applyFont="1" applyAlignment="1">
      <alignment/>
    </xf>
    <xf numFmtId="187" fontId="47" fillId="0" borderId="0" xfId="0" applyNumberFormat="1" applyFont="1" applyAlignment="1">
      <alignment/>
    </xf>
    <xf numFmtId="4" fontId="47" fillId="0" borderId="0" xfId="47" applyNumberFormat="1" applyFont="1" applyAlignment="1">
      <alignment horizontal="center"/>
      <protection/>
    </xf>
    <xf numFmtId="4" fontId="69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7" fillId="0" borderId="51" xfId="0" applyNumberFormat="1" applyFont="1" applyBorder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51" xfId="0" applyFont="1" applyBorder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7" fillId="0" borderId="52" xfId="0" applyFont="1" applyBorder="1" applyAlignment="1">
      <alignment/>
    </xf>
    <xf numFmtId="4" fontId="47" fillId="0" borderId="0" xfId="0" applyNumberFormat="1" applyFont="1" applyAlignment="1">
      <alignment/>
    </xf>
    <xf numFmtId="0" fontId="8" fillId="0" borderId="36" xfId="0" applyFont="1" applyBorder="1" applyAlignment="1">
      <alignment horizontal="right"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0" xfId="0" applyFont="1" applyFill="1" applyBorder="1" applyAlignment="1" applyProtection="1">
      <alignment wrapText="1"/>
      <protection/>
    </xf>
    <xf numFmtId="0" fontId="43" fillId="0" borderId="0" xfId="0" applyFont="1" applyBorder="1" applyAlignment="1" applyProtection="1">
      <alignment wrapText="1"/>
      <protection/>
    </xf>
    <xf numFmtId="0" fontId="42" fillId="33" borderId="19" xfId="0" applyFont="1" applyFill="1" applyBorder="1" applyAlignment="1" applyProtection="1">
      <alignment wrapText="1"/>
      <protection/>
    </xf>
    <xf numFmtId="0" fontId="42" fillId="33" borderId="16" xfId="0" applyFont="1" applyFill="1" applyBorder="1" applyAlignment="1" applyProtection="1">
      <alignment wrapText="1"/>
      <protection/>
    </xf>
    <xf numFmtId="0" fontId="43" fillId="0" borderId="16" xfId="0" applyFont="1" applyBorder="1" applyAlignment="1" applyProtection="1">
      <alignment wrapText="1"/>
      <protection/>
    </xf>
    <xf numFmtId="2" fontId="42" fillId="33" borderId="19" xfId="0" applyNumberFormat="1" applyFont="1" applyFill="1" applyBorder="1" applyAlignment="1" applyProtection="1">
      <alignment/>
      <protection/>
    </xf>
    <xf numFmtId="0" fontId="43" fillId="0" borderId="17" xfId="0" applyFont="1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top" wrapText="1"/>
      <protection/>
    </xf>
    <xf numFmtId="0" fontId="39" fillId="0" borderId="14" xfId="0" applyFont="1" applyBorder="1" applyAlignment="1" applyProtection="1">
      <alignment vertical="top" wrapText="1"/>
      <protection/>
    </xf>
    <xf numFmtId="0" fontId="39" fillId="0" borderId="15" xfId="0" applyFont="1" applyBorder="1" applyAlignment="1" applyProtection="1">
      <alignment vertical="top" wrapText="1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29" fillId="37" borderId="14" xfId="0" applyFont="1" applyFill="1" applyBorder="1" applyAlignment="1" applyProtection="1">
      <alignment vertical="top" wrapText="1"/>
      <protection/>
    </xf>
    <xf numFmtId="0" fontId="30" fillId="0" borderId="14" xfId="0" applyFont="1" applyBorder="1" applyAlignment="1" applyProtection="1">
      <alignment vertical="top" wrapText="1"/>
      <protection/>
    </xf>
    <xf numFmtId="0" fontId="30" fillId="0" borderId="15" xfId="0" applyFont="1" applyBorder="1" applyAlignment="1" applyProtection="1">
      <alignment vertical="top" wrapText="1"/>
      <protection/>
    </xf>
    <xf numFmtId="0" fontId="30" fillId="0" borderId="16" xfId="0" applyFont="1" applyBorder="1" applyAlignment="1" applyProtection="1">
      <alignment vertical="top" wrapText="1"/>
      <protection/>
    </xf>
    <xf numFmtId="0" fontId="30" fillId="0" borderId="17" xfId="0" applyFont="1" applyBorder="1" applyAlignment="1" applyProtection="1">
      <alignment vertical="top" wrapText="1"/>
      <protection/>
    </xf>
    <xf numFmtId="4" fontId="8" fillId="35" borderId="13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7" fillId="35" borderId="21" xfId="0" applyFont="1" applyFill="1" applyBorder="1" applyAlignment="1" applyProtection="1" quotePrefix="1">
      <alignment wrapText="1"/>
      <protection/>
    </xf>
    <xf numFmtId="0" fontId="0" fillId="0" borderId="20" xfId="0" applyBorder="1" applyAlignment="1" applyProtection="1">
      <alignment/>
      <protection/>
    </xf>
    <xf numFmtId="0" fontId="0" fillId="0" borderId="14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19" fillId="33" borderId="11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42" fillId="33" borderId="11" xfId="0" applyFont="1" applyFill="1" applyBorder="1" applyAlignment="1" applyProtection="1">
      <alignment vertical="top" wrapText="1"/>
      <protection/>
    </xf>
    <xf numFmtId="0" fontId="43" fillId="0" borderId="12" xfId="0" applyFont="1" applyBorder="1" applyAlignment="1" applyProtection="1">
      <alignment wrapText="1"/>
      <protection/>
    </xf>
    <xf numFmtId="0" fontId="43" fillId="0" borderId="11" xfId="0" applyFont="1" applyBorder="1" applyAlignment="1" applyProtection="1">
      <alignment wrapText="1"/>
      <protection/>
    </xf>
    <xf numFmtId="0" fontId="43" fillId="0" borderId="19" xfId="0" applyFont="1" applyBorder="1" applyAlignment="1" applyProtection="1">
      <alignment wrapText="1"/>
      <protection/>
    </xf>
    <xf numFmtId="0" fontId="43" fillId="0" borderId="17" xfId="0" applyFont="1" applyBorder="1" applyAlignment="1" applyProtection="1">
      <alignment wrapText="1"/>
      <protection/>
    </xf>
    <xf numFmtId="0" fontId="23" fillId="33" borderId="11" xfId="0" applyFont="1" applyFill="1" applyBorder="1" applyAlignment="1" applyProtection="1">
      <alignment wrapText="1"/>
      <protection/>
    </xf>
    <xf numFmtId="0" fontId="23" fillId="33" borderId="0" xfId="0" applyFont="1" applyFill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wrapText="1"/>
      <protection/>
    </xf>
    <xf numFmtId="0" fontId="29" fillId="37" borderId="21" xfId="0" applyFont="1" applyFill="1" applyBorder="1" applyAlignment="1" applyProtection="1">
      <alignment vertical="top" wrapText="1"/>
      <protection/>
    </xf>
    <xf numFmtId="0" fontId="0" fillId="0" borderId="20" xfId="0" applyBorder="1" applyAlignment="1" applyProtection="1">
      <alignment wrapText="1"/>
      <protection/>
    </xf>
    <xf numFmtId="2" fontId="19" fillId="33" borderId="11" xfId="0" applyNumberFormat="1" applyFont="1" applyFill="1" applyBorder="1" applyAlignment="1" applyProtection="1">
      <alignment wrapText="1"/>
      <protection/>
    </xf>
    <xf numFmtId="2" fontId="19" fillId="33" borderId="0" xfId="0" applyNumberFormat="1" applyFont="1" applyFill="1" applyBorder="1" applyAlignment="1" applyProtection="1">
      <alignment wrapText="1"/>
      <protection/>
    </xf>
    <xf numFmtId="0" fontId="20" fillId="33" borderId="12" xfId="0" applyFont="1" applyFill="1" applyBorder="1" applyAlignment="1" applyProtection="1">
      <alignment wrapText="1"/>
      <protection/>
    </xf>
    <xf numFmtId="0" fontId="20" fillId="33" borderId="11" xfId="0" applyFont="1" applyFill="1" applyBorder="1" applyAlignment="1" applyProtection="1">
      <alignment wrapText="1"/>
      <protection/>
    </xf>
    <xf numFmtId="0" fontId="20" fillId="33" borderId="0" xfId="0" applyFont="1" applyFill="1" applyBorder="1" applyAlignment="1" applyProtection="1">
      <alignment wrapText="1"/>
      <protection/>
    </xf>
    <xf numFmtId="0" fontId="24" fillId="33" borderId="12" xfId="0" applyFont="1" applyFill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top" wrapText="1"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366"/>
      <rgbColor rgb="00FFFFFF"/>
      <rgbColor rgb="00FF0000"/>
      <rgbColor rgb="0000FF00"/>
      <rgbColor rgb="000000FF"/>
      <rgbColor rgb="00FFFF00"/>
      <rgbColor rgb="00CC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R148"/>
  <sheetViews>
    <sheetView tabSelected="1" zoomScale="110" zoomScaleNormal="110" zoomScalePageLayoutView="0" workbookViewId="0" topLeftCell="A1">
      <selection activeCell="L29" sqref="L29"/>
    </sheetView>
  </sheetViews>
  <sheetFormatPr defaultColWidth="9.140625" defaultRowHeight="12.75"/>
  <cols>
    <col min="1" max="1" width="51.8515625" style="31" customWidth="1"/>
    <col min="2" max="2" width="10.421875" style="31" customWidth="1"/>
    <col min="3" max="3" width="5.28125" style="31" customWidth="1"/>
    <col min="4" max="4" width="11.8515625" style="31" customWidth="1"/>
    <col min="5" max="5" width="1.28515625" style="31" customWidth="1"/>
    <col min="6" max="6" width="7.28125" style="31" customWidth="1"/>
    <col min="7" max="7" width="10.57421875" style="31" customWidth="1"/>
    <col min="8" max="8" width="0.71875" style="31" customWidth="1"/>
    <col min="9" max="9" width="10.8515625" style="31" customWidth="1"/>
    <col min="10" max="10" width="7.140625" style="31" customWidth="1"/>
    <col min="11" max="11" width="16.140625" style="31" customWidth="1"/>
    <col min="12" max="12" width="8.28125" style="31" customWidth="1"/>
    <col min="13" max="13" width="6.8515625" style="31" customWidth="1"/>
    <col min="14" max="14" width="0.85546875" style="34" customWidth="1"/>
    <col min="15" max="42" width="9.140625" style="34" customWidth="1"/>
    <col min="43" max="16384" width="9.140625" style="31" customWidth="1"/>
  </cols>
  <sheetData>
    <row r="1" spans="1:13" ht="15.75" customHeight="1" thickBot="1">
      <c r="A1" s="151" t="s">
        <v>338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 t="s">
        <v>283</v>
      </c>
      <c r="M1" s="48"/>
    </row>
    <row r="2" spans="1:13" ht="2.25" customHeight="1" hidden="1" thickBot="1">
      <c r="A2" s="85"/>
      <c r="B2" s="49"/>
      <c r="C2" s="49"/>
      <c r="D2" s="49"/>
      <c r="E2" s="61"/>
      <c r="F2" s="61"/>
      <c r="G2" s="61"/>
      <c r="H2" s="61"/>
      <c r="I2" s="61"/>
      <c r="J2" s="61"/>
      <c r="K2" s="61"/>
      <c r="L2" s="61"/>
      <c r="M2" s="72"/>
    </row>
    <row r="3" spans="1:13" ht="12" customHeight="1">
      <c r="A3" s="86" t="s">
        <v>26</v>
      </c>
      <c r="B3" s="69" t="s">
        <v>265</v>
      </c>
      <c r="C3" s="182"/>
      <c r="D3" s="55"/>
      <c r="E3" s="54" t="s">
        <v>266</v>
      </c>
      <c r="F3" s="190"/>
      <c r="G3" s="240"/>
      <c r="H3" s="236" t="s">
        <v>36</v>
      </c>
      <c r="I3" s="52"/>
      <c r="J3" s="106"/>
      <c r="K3" s="414" t="s">
        <v>59</v>
      </c>
      <c r="L3" s="415"/>
      <c r="M3" s="416"/>
    </row>
    <row r="4" spans="1:13" ht="13.5" customHeight="1">
      <c r="A4" s="29"/>
      <c r="B4" s="68" t="str">
        <f>IF(virheet!I10&lt;1,"2. Valitse kalleusluokka:","Älä täytä")</f>
        <v>2. Valitse kalleusluokka:</v>
      </c>
      <c r="C4" s="186"/>
      <c r="D4" s="146"/>
      <c r="E4" s="102" t="s">
        <v>271</v>
      </c>
      <c r="F4" s="37"/>
      <c r="G4" s="38"/>
      <c r="H4" s="102" t="s">
        <v>37</v>
      </c>
      <c r="I4" s="37"/>
      <c r="J4" s="38"/>
      <c r="K4" s="417" t="str">
        <f>IF(virheet!I10&lt;1," 8. Valitse siihen oikeuttava aika:","Älä täytä")</f>
        <v> 8. Valitse siihen oikeuttava aika:</v>
      </c>
      <c r="L4" s="418"/>
      <c r="M4" s="419"/>
    </row>
    <row r="5" spans="1:13" ht="13.5" customHeight="1" thickBot="1">
      <c r="A5" s="29"/>
      <c r="B5" s="42"/>
      <c r="C5" s="33"/>
      <c r="D5" s="146"/>
      <c r="E5" s="103"/>
      <c r="F5" s="98" t="str">
        <f>IF(virheet!I10&lt;1,"4. Syötä palkka:","Älä täytä")</f>
        <v>4. Syötä palkka:</v>
      </c>
      <c r="G5" s="241"/>
      <c r="H5" s="42"/>
      <c r="I5" s="417" t="str">
        <f>IF(virheet!I10&lt;1,IF(VLOOKUP(virheet!$A$10,virheet!$A$12:$F$35,6,FALSE)=0,"Ei täytetä valitulle opettajalle. Siirry kohtaan 8.","5. Syötä huojentamaton opetusvelvollisuus:"),"Älä täytä")</f>
        <v>Ei täytetä valitulle opettajalle. Siirry kohtaan 8.</v>
      </c>
      <c r="J5" s="419"/>
      <c r="K5" s="33"/>
      <c r="L5" s="92"/>
      <c r="M5" s="38"/>
    </row>
    <row r="6" spans="1:13" ht="13.5" customHeight="1" thickBot="1">
      <c r="A6" s="29"/>
      <c r="B6" s="90"/>
      <c r="C6" s="101"/>
      <c r="D6" s="32"/>
      <c r="E6" s="42"/>
      <c r="F6" s="27"/>
      <c r="G6" s="192" t="s">
        <v>16</v>
      </c>
      <c r="H6" s="42"/>
      <c r="I6" s="418"/>
      <c r="J6" s="419"/>
      <c r="K6" s="92"/>
      <c r="L6" s="92"/>
      <c r="M6" s="38"/>
    </row>
    <row r="7" spans="1:13" ht="13.5" customHeight="1" thickBot="1">
      <c r="A7" s="29"/>
      <c r="B7" s="445" t="str">
        <f>IF(virheet!I10&lt;1,"Onko epäpätevyyden perusteella alennettu vähimmäisperuspalkka?","Älä täytä")</f>
        <v>Onko epäpätevyyden perusteella alennettu vähimmäisperuspalkka?</v>
      </c>
      <c r="C7" s="446"/>
      <c r="D7" s="447"/>
      <c r="E7" s="242"/>
      <c r="F7" s="97" t="str">
        <f>IF(COUNTA(F6)=0,"hyväksy 'Enterillä'","")</f>
        <v>hyväksy 'Enterillä'</v>
      </c>
      <c r="G7" s="38"/>
      <c r="H7" s="42"/>
      <c r="I7" s="418"/>
      <c r="J7" s="419"/>
      <c r="K7" s="40"/>
      <c r="L7" s="40"/>
      <c r="M7" s="38"/>
    </row>
    <row r="8" spans="1:13" ht="13.5" customHeight="1" thickBot="1">
      <c r="A8" s="29"/>
      <c r="B8" s="448"/>
      <c r="C8" s="449"/>
      <c r="D8" s="447"/>
      <c r="E8" s="434" t="str">
        <f>IF(virheet!I10&lt;1,IF(virheet!A2=1,virheet!B2," ")," ")</f>
        <v> </v>
      </c>
      <c r="F8" s="408"/>
      <c r="G8" s="435"/>
      <c r="H8" s="43">
        <v>2</v>
      </c>
      <c r="I8" s="28"/>
      <c r="J8" s="180" t="s">
        <v>53</v>
      </c>
      <c r="K8" s="104"/>
      <c r="L8" s="73"/>
      <c r="M8" s="38"/>
    </row>
    <row r="9" spans="1:15" ht="10.5" customHeight="1" thickBot="1">
      <c r="A9" s="29"/>
      <c r="B9" s="91"/>
      <c r="C9" s="145"/>
      <c r="D9" s="450" t="str">
        <f>IF(virheet!$G$10*'muut muuttujat'!$G$3=1,"Pakollinen valinta: Valitse 'On' !"," ")</f>
        <v> </v>
      </c>
      <c r="E9" s="436"/>
      <c r="F9" s="408"/>
      <c r="G9" s="435"/>
      <c r="H9" s="103"/>
      <c r="I9" s="97" t="str">
        <f>IF(virheet!F10=0," ",IF(COUNTA(I8)=0,"hyväksy 'Enterillä'",""))</f>
        <v> </v>
      </c>
      <c r="J9" s="38"/>
      <c r="K9" s="53"/>
      <c r="L9" s="57"/>
      <c r="M9" s="51"/>
      <c r="O9" s="44"/>
    </row>
    <row r="10" spans="1:13" ht="14.25" customHeight="1">
      <c r="A10" s="29"/>
      <c r="B10" s="42"/>
      <c r="C10" s="33"/>
      <c r="D10" s="451"/>
      <c r="E10" s="436"/>
      <c r="F10" s="408"/>
      <c r="G10" s="435"/>
      <c r="H10" s="103"/>
      <c r="I10" s="39"/>
      <c r="J10" s="39"/>
      <c r="K10" s="69" t="s">
        <v>119</v>
      </c>
      <c r="L10" s="41"/>
      <c r="M10" s="45"/>
    </row>
    <row r="11" spans="1:13" ht="12.75" customHeight="1" thickBot="1">
      <c r="A11" s="29"/>
      <c r="B11" s="439" t="str">
        <f>IF(virheet!I10&lt;1,IF(virheet!G10*'muut muuttujat'!G3=1,"",IF(virheet!A4=1,virheet!C4,IF(laskenta!A4=17,"---&gt; Syötä epäpätevyys -prosentilla alennettu peruspalkka:",IF(virheet!A4=1,"",IF('muut muuttujat'!G3=1,"---&gt; Jätä alla oleva kohta täyttämättä ja siirry kohtaan 4.","---&gt; Syötä alennettu peruspalkka:"))))),"Älä täytä")</f>
        <v>---&gt; Jätä alla oleva kohta täyttämättä ja siirry kohtaan 4.</v>
      </c>
      <c r="C11" s="440"/>
      <c r="D11" s="441"/>
      <c r="E11" s="437"/>
      <c r="F11" s="411"/>
      <c r="G11" s="438"/>
      <c r="H11" s="74"/>
      <c r="I11" s="70"/>
      <c r="J11" s="70"/>
      <c r="K11" s="431" t="s">
        <v>124</v>
      </c>
      <c r="L11" s="432"/>
      <c r="M11" s="38"/>
    </row>
    <row r="12" spans="1:13" ht="13.5" customHeight="1" thickBot="1">
      <c r="A12" s="29"/>
      <c r="B12" s="439"/>
      <c r="C12" s="440"/>
      <c r="D12" s="442"/>
      <c r="E12" s="69" t="s">
        <v>80</v>
      </c>
      <c r="F12" s="223"/>
      <c r="G12" s="100"/>
      <c r="H12" s="100"/>
      <c r="I12" s="100"/>
      <c r="J12" s="55"/>
      <c r="K12" s="433"/>
      <c r="L12" s="432"/>
      <c r="M12" s="38"/>
    </row>
    <row r="13" spans="1:13" ht="14.25" customHeight="1" thickBot="1">
      <c r="A13" s="29"/>
      <c r="B13" s="27"/>
      <c r="C13" s="229">
        <f>IF(virheet!I10&lt;1,IF('muut muuttujat'!G3=2,"e/kk","")," ")</f>
      </c>
      <c r="D13" s="229"/>
      <c r="E13" s="230"/>
      <c r="F13" s="98" t="str">
        <f>IF(virheet!I10&lt;1,IF(VLOOKUP(virheet!$A$10,virheet!$A$12:$F$35,6,FALSE)=0,"Ei täytetä valitulle opettajalle. Siirry kohtaan 8.","6. Syötä vuosiviikkoylituntien määrä:"),"Älä täytä")</f>
        <v>Ei täytetä valitulle opettajalle. Siirry kohtaan 8.</v>
      </c>
      <c r="G13" s="99"/>
      <c r="H13" s="39"/>
      <c r="I13" s="39"/>
      <c r="J13" s="38"/>
      <c r="K13" s="27"/>
      <c r="L13" s="179" t="s">
        <v>16</v>
      </c>
      <c r="M13" s="32"/>
    </row>
    <row r="14" spans="1:13" ht="14.25" customHeight="1" thickBot="1">
      <c r="A14" s="29"/>
      <c r="B14" s="78">
        <f>IF(virheet!I10&lt;1,IF(virheet!A6&gt;0,"",IF('muut muuttujat'!G3=1,"",IF(COUNTA(B13)=0,"hyväksy 'Enterillä'","")))," ")</f>
      </c>
      <c r="C14" s="97"/>
      <c r="D14" s="33"/>
      <c r="E14" s="231"/>
      <c r="F14" s="99"/>
      <c r="G14" s="99"/>
      <c r="H14" s="39"/>
      <c r="I14" s="28"/>
      <c r="J14" s="180" t="s">
        <v>53</v>
      </c>
      <c r="K14" s="78" t="str">
        <f>IF(COUNTA(K13)=0,"hyväksy 'Enterillä'","")</f>
        <v>hyväksy 'Enterillä'</v>
      </c>
      <c r="L14" s="33"/>
      <c r="M14" s="32"/>
    </row>
    <row r="15" spans="1:13" ht="15" customHeight="1" thickBot="1">
      <c r="A15" s="29"/>
      <c r="B15" s="406">
        <f>IF(virheet!I10&lt;1,IF('muut muuttujat'!G3=2,IF(virheet!A3=1,virheet!B3,""),"")," ")</f>
      </c>
      <c r="C15" s="407"/>
      <c r="D15" s="408"/>
      <c r="E15" s="42"/>
      <c r="F15" s="98" t="str">
        <f>IF(virheet!I10&lt;1,IF(VLOOKUP(virheet!$A$10,virheet!$A$12:$F$35,6,FALSE)=0,"Ei täytetä valitulle opettajalle. Siirry kohtaan 8.","7. Syötä kertaylituntien määrä:"),"Älä täytä")</f>
        <v>Ei täytetä valitulle opettajalle. Siirry kohtaan 8.</v>
      </c>
      <c r="G15" s="99"/>
      <c r="H15" s="33"/>
      <c r="I15" s="33"/>
      <c r="J15" s="32"/>
      <c r="K15" s="43"/>
      <c r="L15" s="33"/>
      <c r="M15" s="32"/>
    </row>
    <row r="16" spans="1:13" ht="13.5" customHeight="1" thickBot="1">
      <c r="A16" s="29"/>
      <c r="B16" s="406"/>
      <c r="C16" s="407"/>
      <c r="D16" s="408"/>
      <c r="E16" s="42"/>
      <c r="F16" s="33"/>
      <c r="G16" s="33"/>
      <c r="H16" s="33"/>
      <c r="I16" s="28"/>
      <c r="J16" s="180" t="s">
        <v>54</v>
      </c>
      <c r="K16" s="43"/>
      <c r="L16" s="33"/>
      <c r="M16" s="32"/>
    </row>
    <row r="17" spans="1:13" ht="9.75" customHeight="1" thickBot="1">
      <c r="A17" s="29"/>
      <c r="B17" s="409"/>
      <c r="C17" s="410"/>
      <c r="D17" s="411"/>
      <c r="E17" s="117"/>
      <c r="F17" s="118"/>
      <c r="G17" s="118"/>
      <c r="H17" s="118"/>
      <c r="I17" s="53" t="str">
        <f>IF(virheet!F10=0," ",IF(COUNTA(I16)=0,"hyväksy 'Enterillä'",""))</f>
        <v> </v>
      </c>
      <c r="J17" s="71"/>
      <c r="K17" s="222"/>
      <c r="L17" s="118"/>
      <c r="M17" s="119"/>
    </row>
    <row r="18" spans="1:13" ht="39" customHeight="1" thickBot="1">
      <c r="A18" s="29"/>
      <c r="B18" s="443" t="str">
        <f>VLOOKUP(laskenta!$A$4,laskenta!$A$6:$B$29,2,FALSE)</f>
        <v>40901024 Ammatilliset oppil. -  Rehtori</v>
      </c>
      <c r="C18" s="444"/>
      <c r="D18" s="444"/>
      <c r="E18" s="444"/>
      <c r="F18" s="444"/>
      <c r="G18" s="444"/>
      <c r="H18" s="444"/>
      <c r="I18" s="444"/>
      <c r="J18" s="268" t="str">
        <f>IF(virheet!I10&gt;0,"SYÖTÄ ALLA PYYDETYT TIEDOT:"," ")</f>
        <v> </v>
      </c>
      <c r="K18" s="269"/>
      <c r="L18" s="270"/>
      <c r="M18" s="380" t="str">
        <f>IF(virheet!$I$10=0,"Älä täytä:"," ")</f>
        <v>Älä täytä:</v>
      </c>
    </row>
    <row r="19" spans="1:13" ht="13.5" customHeight="1" thickBot="1">
      <c r="A19" s="29"/>
      <c r="B19" s="427" t="s">
        <v>267</v>
      </c>
      <c r="C19" s="428"/>
      <c r="D19" s="428"/>
      <c r="E19" s="428"/>
      <c r="F19" s="428"/>
      <c r="G19" s="107">
        <f>IF(virheet!I10&lt;1,IF('muut muuttujat'!A3=1,VLOOKUP(laskenta!A4,laskenta!$A$6:$P$29,5,FALSE),VLOOKUP(laskenta!A4,laskenta!$A$6:$P$29,6,FALSE))," ")</f>
        <v>4015.74</v>
      </c>
      <c r="H19" s="108"/>
      <c r="I19" s="48" t="s">
        <v>16</v>
      </c>
      <c r="J19" s="271"/>
      <c r="K19" s="272"/>
      <c r="L19" s="273"/>
      <c r="M19" s="284"/>
    </row>
    <row r="20" spans="1:13" ht="13.5" customHeight="1" thickBot="1">
      <c r="A20" s="29"/>
      <c r="B20" s="109" t="s">
        <v>192</v>
      </c>
      <c r="C20" s="187"/>
      <c r="D20" s="110"/>
      <c r="E20" s="75"/>
      <c r="F20" s="75"/>
      <c r="G20" s="111">
        <f>IF(virheet!I10&lt;1,IF(F6=0,"",F6)," ")</f>
      </c>
      <c r="H20" s="112"/>
      <c r="I20" s="113" t="s">
        <v>16</v>
      </c>
      <c r="J20" s="274" t="str">
        <f>IF(virheet!I10=1,"Ei täytetä ko. opettajalle",IF(virheet!I10=2,"2. Syötä kelpoisuuden mukaan tuleva korotus-%:"," "))</f>
        <v> </v>
      </c>
      <c r="K20" s="272"/>
      <c r="L20" s="273"/>
      <c r="M20" s="302"/>
    </row>
    <row r="21" spans="1:13" ht="13.5" customHeight="1" thickBot="1">
      <c r="A21" s="29"/>
      <c r="B21" s="76" t="s">
        <v>55</v>
      </c>
      <c r="C21" s="66"/>
      <c r="D21" s="66"/>
      <c r="E21" s="61"/>
      <c r="F21" s="61"/>
      <c r="G21" s="67">
        <f>IF(virheet!I10&lt;1,IF(G19="epäpät %"," ",IF(G19=0," ",IF(G19="% rehtorista","",ROUND(VLOOKUP(laskenta!$A$4,laskenta!$A$6:$AD$29,24+'muut muuttujat'!J3,FALSE)*G19-G19,2))))," ")</f>
        <v>544.86</v>
      </c>
      <c r="H21" s="65"/>
      <c r="I21" s="114" t="s">
        <v>16</v>
      </c>
      <c r="J21" s="275" t="str">
        <f>IF(virheet!I10&gt;0,"3. Syötä tuntien määrä kuukaudessa:"," ")</f>
        <v> </v>
      </c>
      <c r="K21" s="272"/>
      <c r="L21" s="272"/>
      <c r="M21" s="250"/>
    </row>
    <row r="22" spans="1:13" ht="13.5" customHeight="1" thickBot="1">
      <c r="A22" s="29"/>
      <c r="B22" s="77" t="s">
        <v>71</v>
      </c>
      <c r="C22" s="35"/>
      <c r="D22" s="35"/>
      <c r="E22" s="35"/>
      <c r="F22" s="425" t="str">
        <f>IF(virheet!I10&lt;1,IF(L23=" "," ",IF(virheet!$F$10=0,"eivät mahdollisia",ROUND(I14*L23,2)))," ")</f>
        <v> </v>
      </c>
      <c r="G22" s="426"/>
      <c r="H22" s="65"/>
      <c r="I22" s="114" t="str">
        <f>IF(virheet!I10&lt;1,CONCATENATE("e/kk"," ","(",I14," ","kpl",")")," ")</f>
        <v>e/kk ( kpl)</v>
      </c>
      <c r="J22" s="206" t="s">
        <v>77</v>
      </c>
      <c r="K22" s="207"/>
      <c r="L22" s="232" t="str">
        <f>IF(virheet!I10&gt;0,IF(virheet!I10=1,VLOOKUP(laskenta!A4,laskenta!$A$6:$Q$29,17,FALSE),IF('muut muuttujat'!A3=1,VLOOKUP(laskenta!A4,laskenta!$A$6:$R$29,17,FALSE),VLOOKUP(laskenta!A4,laskenta!$A$6:$R$29,18,FALSE)))," ")</f>
        <v> </v>
      </c>
      <c r="M22" s="208" t="s">
        <v>60</v>
      </c>
    </row>
    <row r="23" spans="1:13" ht="13.5" customHeight="1">
      <c r="A23" s="29"/>
      <c r="B23" s="77" t="s">
        <v>128</v>
      </c>
      <c r="C23" s="35"/>
      <c r="D23" s="35"/>
      <c r="E23" s="35"/>
      <c r="F23" s="425" t="str">
        <f>IF(virheet!I10&lt;1,IF(L24=" "," ",IF(virheet!$F$10=0,"eivät mahdollisia",ROUND(I16*L24,2))),ROUND(KÄYTTÖTAULU!L22*KÄYTTÖTAULU!M21,2))</f>
        <v> </v>
      </c>
      <c r="G23" s="426"/>
      <c r="H23" s="65"/>
      <c r="I23" s="114" t="str">
        <f>CONCATENATE("e/kk"," ","(",IF(virheet!I10&lt;1,I16,KÄYTTÖTAULU!M21)," ","kpl",")")</f>
        <v>e/kk ( kpl)</v>
      </c>
      <c r="J23" s="233" t="s">
        <v>62</v>
      </c>
      <c r="K23" s="219"/>
      <c r="L23" s="220" t="str">
        <f>IF(virheet!I10=0,IF(I8*F6=0," ",IF(virheet!F10=0," ",IF('muut muuttujat'!A3=1,VLOOKUP(laskenta!A4,laskenta!$A$6:$P$29,11,FALSE),VLOOKUP(laskenta!A4,laskenta!$A$6:$P$27,12,FALSE))))," ")</f>
        <v> </v>
      </c>
      <c r="M23" s="221" t="s">
        <v>16</v>
      </c>
    </row>
    <row r="24" spans="1:13" ht="13.5" customHeight="1" thickBot="1">
      <c r="A24" s="29"/>
      <c r="B24" s="79" t="s">
        <v>127</v>
      </c>
      <c r="C24" s="62"/>
      <c r="D24" s="62"/>
      <c r="E24" s="61"/>
      <c r="F24" s="61"/>
      <c r="G24" s="67">
        <f>IF(COUNTA(K13)=0,"",K13)</f>
      </c>
      <c r="H24" s="61"/>
      <c r="I24" s="115" t="s">
        <v>16</v>
      </c>
      <c r="J24" s="234" t="s">
        <v>63</v>
      </c>
      <c r="K24" s="88"/>
      <c r="L24" s="218" t="str">
        <f>IF(virheet!I10=0,IF(I8*F6=0," ",IF(virheet!F10=0," ",IF('muut muuttujat'!A$3=1,VLOOKUP(laskenta!A$4,laskenta!$A$6:$P$27,13,FALSE),VLOOKUP(laskenta!A$4,laskenta!$A$6:$P$29,14,FALSE))))," ")</f>
        <v> </v>
      </c>
      <c r="M24" s="87" t="s">
        <v>60</v>
      </c>
    </row>
    <row r="25" spans="1:13" ht="12.75" customHeight="1" thickBot="1">
      <c r="A25" s="56"/>
      <c r="B25" s="64" t="s">
        <v>56</v>
      </c>
      <c r="C25" s="152"/>
      <c r="D25" s="63"/>
      <c r="E25" s="63"/>
      <c r="F25" s="63"/>
      <c r="G25" s="80" t="str">
        <f>IF(F6=0," ",SUM(F20:G24))</f>
        <v> </v>
      </c>
      <c r="H25" s="81"/>
      <c r="I25" s="116" t="s">
        <v>16</v>
      </c>
      <c r="J25" s="235" t="s">
        <v>61</v>
      </c>
      <c r="K25" s="228"/>
      <c r="L25" s="217" t="str">
        <f>IF(virheet!H10=0," ",IF(I8=0," ",IF(virheet!F10=0,"",IF('muut muuttujat'!A$3=1,VLOOKUP(laskenta!A$4,laskenta!$A$6:$P$27,15,FALSE),VLOOKUP(laskenta!A$4,laskenta!$A$6:$P$27,16,FALSE)))))</f>
        <v> </v>
      </c>
      <c r="M25" s="84" t="s">
        <v>60</v>
      </c>
    </row>
    <row r="26" spans="1:13" ht="5.25" customHeight="1" thickBot="1">
      <c r="A26" s="153"/>
      <c r="B26" s="224"/>
      <c r="C26" s="224"/>
      <c r="D26" s="225"/>
      <c r="E26" s="225"/>
      <c r="F26" s="225"/>
      <c r="G26" s="226"/>
      <c r="H26" s="227"/>
      <c r="I26" s="224"/>
      <c r="J26" s="154"/>
      <c r="K26" s="155"/>
      <c r="L26" s="156"/>
      <c r="M26" s="157"/>
    </row>
    <row r="27" spans="1:13" ht="13.5" customHeight="1" thickBot="1">
      <c r="A27" s="148" t="s">
        <v>284</v>
      </c>
      <c r="B27" s="149"/>
      <c r="C27" s="149"/>
      <c r="D27" s="149"/>
      <c r="E27" s="63"/>
      <c r="F27" s="63"/>
      <c r="G27" s="63"/>
      <c r="H27" s="63"/>
      <c r="I27" s="63"/>
      <c r="J27" s="63"/>
      <c r="K27" s="63"/>
      <c r="L27" s="63"/>
      <c r="M27" s="150"/>
    </row>
    <row r="28" spans="1:13" ht="13.5" customHeight="1">
      <c r="A28" s="195" t="s">
        <v>26</v>
      </c>
      <c r="B28" s="237" t="s">
        <v>78</v>
      </c>
      <c r="C28" s="182"/>
      <c r="D28" s="158"/>
      <c r="E28" s="414" t="s">
        <v>79</v>
      </c>
      <c r="F28" s="415"/>
      <c r="G28" s="416"/>
      <c r="H28" s="236" t="s">
        <v>116</v>
      </c>
      <c r="I28" s="105"/>
      <c r="J28" s="184"/>
      <c r="K28" s="184"/>
      <c r="L28" s="100"/>
      <c r="M28" s="55"/>
    </row>
    <row r="29" spans="1:13" ht="13.5" customHeight="1">
      <c r="A29" s="196"/>
      <c r="B29" s="186" t="s">
        <v>25</v>
      </c>
      <c r="C29" s="186"/>
      <c r="D29" s="146"/>
      <c r="E29" s="417" t="s">
        <v>170</v>
      </c>
      <c r="F29" s="418"/>
      <c r="G29" s="419"/>
      <c r="H29" s="177"/>
      <c r="I29" s="98" t="str">
        <f>VLOOKUP('amk,aikk, amm.vuosityö laskenta'!$C$19,'amk,aikk, amm.vuosityö laskenta'!$C$20:$D$21,2,TRUE)</f>
        <v>8. Syötä työajan ylityskorvausten tunnit:</v>
      </c>
      <c r="J29" s="99"/>
      <c r="K29" s="99"/>
      <c r="L29" s="89"/>
      <c r="M29" s="180" t="s">
        <v>54</v>
      </c>
    </row>
    <row r="30" spans="1:13" ht="4.5" customHeight="1">
      <c r="A30" s="196"/>
      <c r="B30" s="186"/>
      <c r="C30" s="186"/>
      <c r="D30" s="146"/>
      <c r="E30" s="121"/>
      <c r="F30" s="92"/>
      <c r="G30" s="204"/>
      <c r="H30" s="177"/>
      <c r="I30" s="98"/>
      <c r="J30" s="99"/>
      <c r="K30" s="99"/>
      <c r="L30" s="99">
        <v>2</v>
      </c>
      <c r="M30" s="180"/>
    </row>
    <row r="31" spans="1:13" ht="13.5" customHeight="1">
      <c r="A31" s="196"/>
      <c r="B31" s="101"/>
      <c r="C31" s="101"/>
      <c r="D31" s="146"/>
      <c r="E31" s="33"/>
      <c r="F31" s="33"/>
      <c r="G31" s="32"/>
      <c r="H31" s="42"/>
      <c r="I31" s="98" t="str">
        <f>VLOOKUP('amk,aikk, amm.vuosityö laskenta'!$F$19,'amk,aikk, amm.vuosityö laskenta'!$F$20:$G$21,2,TRUE)</f>
        <v>9. Syötä ilta- ja yötyön tunnit:</v>
      </c>
      <c r="J31" s="99"/>
      <c r="K31" s="99"/>
      <c r="L31" s="89"/>
      <c r="M31" s="180" t="s">
        <v>54</v>
      </c>
    </row>
    <row r="32" spans="1:13" ht="6" customHeight="1">
      <c r="A32" s="196"/>
      <c r="B32" s="101"/>
      <c r="C32" s="101"/>
      <c r="D32" s="146"/>
      <c r="E32" s="33"/>
      <c r="F32" s="33"/>
      <c r="G32" s="32"/>
      <c r="H32" s="42"/>
      <c r="I32" s="121"/>
      <c r="J32" s="92"/>
      <c r="K32" s="92"/>
      <c r="L32" s="33"/>
      <c r="M32" s="32"/>
    </row>
    <row r="33" spans="1:13" ht="13.5" customHeight="1">
      <c r="A33" s="196"/>
      <c r="B33" s="101"/>
      <c r="C33" s="101"/>
      <c r="D33" s="146"/>
      <c r="E33" s="33"/>
      <c r="F33" s="33"/>
      <c r="G33" s="33"/>
      <c r="H33" s="42"/>
      <c r="I33" s="98" t="str">
        <f>VLOOKUP('amk,aikk, amm.vuosityö laskenta'!$I$19,'amk,aikk, amm.vuosityö laskenta'!$I$20:$J$21,2,TRUE)</f>
        <v>10. Syötä viikonloppu- ja arkipyhätyön tunnit:</v>
      </c>
      <c r="J33" s="92"/>
      <c r="K33" s="92"/>
      <c r="L33" s="89"/>
      <c r="M33" s="180" t="s">
        <v>54</v>
      </c>
    </row>
    <row r="34" spans="1:13" ht="6" customHeight="1" thickBot="1">
      <c r="A34" s="196"/>
      <c r="B34" s="101"/>
      <c r="C34" s="101"/>
      <c r="D34" s="146"/>
      <c r="E34" s="33"/>
      <c r="F34" s="33"/>
      <c r="G34" s="33"/>
      <c r="H34" s="42"/>
      <c r="I34" s="121"/>
      <c r="J34" s="92"/>
      <c r="K34" s="92"/>
      <c r="L34" s="33"/>
      <c r="M34" s="32"/>
    </row>
    <row r="35" spans="1:13" ht="13.5" customHeight="1">
      <c r="A35" s="196"/>
      <c r="B35" s="33"/>
      <c r="C35" s="33"/>
      <c r="D35" s="146"/>
      <c r="E35" s="33"/>
      <c r="F35" s="33"/>
      <c r="G35" s="33"/>
      <c r="H35" s="279"/>
      <c r="I35" s="420" t="str">
        <f>VLOOKUP('amk,aikk, amm.vuosityö laskenta'!A4,'amk,aikk, amm.vuosityö laskenta'!$A$5:$B$17,2,FALSE)</f>
        <v>42204010 Yliopettaja, tekniikka ja liikenne</v>
      </c>
      <c r="J35" s="421"/>
      <c r="K35" s="421"/>
      <c r="L35" s="421"/>
      <c r="M35" s="422"/>
    </row>
    <row r="36" spans="1:13" ht="13.5" customHeight="1" thickBot="1">
      <c r="A36" s="196"/>
      <c r="B36" s="188" t="s">
        <v>203</v>
      </c>
      <c r="C36" s="188"/>
      <c r="D36" s="146"/>
      <c r="E36" s="33"/>
      <c r="F36" s="33"/>
      <c r="G36" s="33"/>
      <c r="H36" s="193"/>
      <c r="I36" s="423"/>
      <c r="J36" s="423"/>
      <c r="K36" s="423"/>
      <c r="L36" s="423"/>
      <c r="M36" s="424"/>
    </row>
    <row r="37" spans="1:15" ht="13.5" customHeight="1" thickBot="1">
      <c r="A37" s="196"/>
      <c r="B37" s="251"/>
      <c r="C37" s="191" t="s">
        <v>117</v>
      </c>
      <c r="D37" s="181"/>
      <c r="E37" s="33"/>
      <c r="F37" s="33"/>
      <c r="G37" s="33"/>
      <c r="H37" s="193"/>
      <c r="I37" s="303" t="s">
        <v>268</v>
      </c>
      <c r="J37" s="174"/>
      <c r="K37" s="174"/>
      <c r="L37" s="107">
        <f>ROUND(VLOOKUP('amk,aikk, amm.vuosityö laskenta'!$A$4,'amk,aikk, amm.vuosityö laskenta'!$A$5:$L$17,IF('amk,aikk, amm.vuosityö laskenta'!A19=1,2+'amk,aikk, amm.vuosityö laskenta'!A24,7+'amk,aikk, amm.vuosityö laskenta'!A24),FALSE)*(1-B37/100),2)</f>
        <v>5236.36</v>
      </c>
      <c r="M37" s="178" t="s">
        <v>16</v>
      </c>
      <c r="O37" s="259"/>
    </row>
    <row r="38" spans="1:13" ht="13.5" customHeight="1">
      <c r="A38" s="196"/>
      <c r="B38" s="238" t="s">
        <v>35</v>
      </c>
      <c r="C38" s="189"/>
      <c r="D38" s="239" t="s">
        <v>178</v>
      </c>
      <c r="E38" s="100"/>
      <c r="F38" s="185"/>
      <c r="G38" s="55"/>
      <c r="H38" s="193"/>
      <c r="I38" s="175" t="s">
        <v>81</v>
      </c>
      <c r="J38" s="160"/>
      <c r="K38" s="161"/>
      <c r="L38" s="111" t="str">
        <f>IF(B41=0," ",B41)</f>
        <v> </v>
      </c>
      <c r="M38" s="162" t="s">
        <v>16</v>
      </c>
    </row>
    <row r="39" spans="1:13" ht="13.5" customHeight="1" thickBot="1">
      <c r="A39" s="196"/>
      <c r="B39" s="33"/>
      <c r="C39" s="33"/>
      <c r="D39" s="177" t="s">
        <v>122</v>
      </c>
      <c r="E39" s="98"/>
      <c r="F39" s="98"/>
      <c r="G39" s="32"/>
      <c r="H39" s="193"/>
      <c r="I39" s="176" t="s">
        <v>82</v>
      </c>
      <c r="J39" s="165"/>
      <c r="K39" s="165"/>
      <c r="L39" s="301" t="str">
        <f>IF(L29=0," ",ROUND(ROUND((($B$41+$F$40)*12)/1600,2)*L29,2))</f>
        <v> </v>
      </c>
      <c r="M39" s="114" t="s">
        <v>16</v>
      </c>
    </row>
    <row r="40" spans="1:13" ht="13.5" customHeight="1" thickBot="1">
      <c r="A40" s="196"/>
      <c r="B40" s="98" t="s">
        <v>118</v>
      </c>
      <c r="C40" s="98"/>
      <c r="D40" s="177" t="s">
        <v>123</v>
      </c>
      <c r="E40" s="98"/>
      <c r="F40" s="27"/>
      <c r="G40" s="192" t="s">
        <v>16</v>
      </c>
      <c r="H40" s="193"/>
      <c r="I40" s="176" t="s">
        <v>83</v>
      </c>
      <c r="J40" s="165"/>
      <c r="K40" s="165"/>
      <c r="L40" s="301" t="str">
        <f>IF(L31+L33=0," ",ROUND(ROUND(((($B$41+$F$40)*12)/1600)*0.3,2)*L31,2)+ROUND(ROUND(((($B$41+$F$40)*12)/1600)*0.5,2)*L33,2))</f>
        <v> </v>
      </c>
      <c r="M40" s="164" t="s">
        <v>16</v>
      </c>
    </row>
    <row r="41" spans="1:13" ht="13.5" customHeight="1" thickBot="1">
      <c r="A41" s="196"/>
      <c r="B41" s="27"/>
      <c r="C41" s="179" t="s">
        <v>16</v>
      </c>
      <c r="D41" s="177" t="s">
        <v>126</v>
      </c>
      <c r="E41" s="98"/>
      <c r="F41" s="98"/>
      <c r="G41" s="32"/>
      <c r="H41" s="193"/>
      <c r="I41" s="166" t="s">
        <v>179</v>
      </c>
      <c r="J41" s="167"/>
      <c r="K41" s="163"/>
      <c r="L41" s="205" t="str">
        <f>IF(F40+F42=0," ",F42+F40)</f>
        <v> </v>
      </c>
      <c r="M41" s="168" t="s">
        <v>16</v>
      </c>
    </row>
    <row r="42" spans="1:13" ht="13.5" customHeight="1" thickBot="1">
      <c r="A42" s="197"/>
      <c r="B42" s="412" t="str">
        <f>IF(B41=0," ",IF(B41&lt;L37,"Liian alhainen!"," "))</f>
        <v> </v>
      </c>
      <c r="C42" s="413"/>
      <c r="D42" s="202" t="s">
        <v>123</v>
      </c>
      <c r="E42" s="183"/>
      <c r="F42" s="27"/>
      <c r="G42" s="203" t="s">
        <v>16</v>
      </c>
      <c r="H42" s="194"/>
      <c r="I42" s="169" t="s">
        <v>56</v>
      </c>
      <c r="J42" s="170"/>
      <c r="K42" s="170"/>
      <c r="L42" s="171" t="str">
        <f>IF(B41=0," ",SUM(L38:L41))</f>
        <v> </v>
      </c>
      <c r="M42" s="172" t="s">
        <v>16</v>
      </c>
    </row>
    <row r="43" spans="1:13" ht="5.25" customHeight="1" thickBot="1">
      <c r="A43" s="30"/>
      <c r="B43" s="36"/>
      <c r="C43" s="36"/>
      <c r="D43" s="36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3.5" thickBot="1">
      <c r="A44" s="248" t="s">
        <v>285</v>
      </c>
      <c r="B44" s="149"/>
      <c r="C44" s="149"/>
      <c r="D44" s="149"/>
      <c r="E44" s="63"/>
      <c r="F44" s="63"/>
      <c r="G44" s="63"/>
      <c r="H44" s="63"/>
      <c r="I44" s="63"/>
      <c r="J44" s="63"/>
      <c r="K44" s="63"/>
      <c r="L44" s="63"/>
      <c r="M44" s="150"/>
    </row>
    <row r="45" spans="1:13" ht="13.5">
      <c r="A45" s="195" t="s">
        <v>26</v>
      </c>
      <c r="B45" s="237" t="s">
        <v>201</v>
      </c>
      <c r="C45" s="182"/>
      <c r="D45" s="158"/>
      <c r="E45" s="414" t="s">
        <v>79</v>
      </c>
      <c r="F45" s="415"/>
      <c r="G45" s="416"/>
      <c r="H45" s="236" t="s">
        <v>116</v>
      </c>
      <c r="I45" s="105"/>
      <c r="J45" s="184"/>
      <c r="K45" s="184"/>
      <c r="L45" s="100"/>
      <c r="M45" s="55"/>
    </row>
    <row r="46" spans="1:13" ht="12.75">
      <c r="A46" s="196"/>
      <c r="B46" s="188" t="s">
        <v>202</v>
      </c>
      <c r="C46" s="186"/>
      <c r="D46" s="146"/>
      <c r="E46" s="417" t="s">
        <v>171</v>
      </c>
      <c r="F46" s="418"/>
      <c r="G46" s="419"/>
      <c r="H46" s="177"/>
      <c r="I46" s="98" t="s">
        <v>175</v>
      </c>
      <c r="J46" s="99"/>
      <c r="K46" s="99"/>
      <c r="L46" s="89"/>
      <c r="M46" s="180" t="s">
        <v>54</v>
      </c>
    </row>
    <row r="47" spans="1:13" ht="4.5" customHeight="1" thickBot="1">
      <c r="A47" s="196"/>
      <c r="B47" s="188"/>
      <c r="C47" s="188"/>
      <c r="D47" s="146"/>
      <c r="E47" s="121"/>
      <c r="F47" s="92"/>
      <c r="G47" s="204"/>
      <c r="H47" s="177"/>
      <c r="I47" s="98"/>
      <c r="J47" s="99"/>
      <c r="K47" s="99"/>
      <c r="L47" s="99"/>
      <c r="M47" s="180"/>
    </row>
    <row r="48" spans="1:13" ht="15" customHeight="1" thickBot="1">
      <c r="A48" s="196"/>
      <c r="B48" s="251"/>
      <c r="C48" s="245" t="s">
        <v>117</v>
      </c>
      <c r="D48" s="181"/>
      <c r="E48" s="33"/>
      <c r="F48" s="33"/>
      <c r="G48" s="32"/>
      <c r="H48" s="42"/>
      <c r="I48" s="98" t="s">
        <v>176</v>
      </c>
      <c r="J48" s="99"/>
      <c r="K48" s="99"/>
      <c r="L48" s="89"/>
      <c r="M48" s="180" t="s">
        <v>54</v>
      </c>
    </row>
    <row r="49" spans="1:13" ht="5.25" customHeight="1" thickBot="1">
      <c r="A49" s="196"/>
      <c r="B49" s="247"/>
      <c r="C49" s="245"/>
      <c r="D49" s="181"/>
      <c r="E49" s="33"/>
      <c r="F49" s="33"/>
      <c r="G49" s="33"/>
      <c r="H49" s="42"/>
      <c r="I49" s="98"/>
      <c r="J49" s="99"/>
      <c r="K49" s="99"/>
      <c r="L49" s="252"/>
      <c r="M49" s="180"/>
    </row>
    <row r="50" spans="1:13" ht="15" customHeight="1" thickBot="1">
      <c r="A50" s="196"/>
      <c r="B50" s="247"/>
      <c r="C50" s="245"/>
      <c r="D50" s="181"/>
      <c r="E50" s="33"/>
      <c r="F50" s="33"/>
      <c r="G50" s="33"/>
      <c r="H50" s="42"/>
      <c r="I50" s="98" t="s">
        <v>177</v>
      </c>
      <c r="J50" s="99"/>
      <c r="K50" s="99"/>
      <c r="L50" s="28"/>
      <c r="M50" s="180" t="s">
        <v>54</v>
      </c>
    </row>
    <row r="51" spans="1:13" ht="5.25" customHeight="1" thickBot="1">
      <c r="A51" s="196"/>
      <c r="B51" s="247"/>
      <c r="C51" s="245"/>
      <c r="D51" s="181"/>
      <c r="E51" s="33"/>
      <c r="F51" s="33"/>
      <c r="G51" s="33"/>
      <c r="H51" s="42"/>
      <c r="I51" s="98"/>
      <c r="J51" s="99"/>
      <c r="K51" s="99"/>
      <c r="L51" s="99"/>
      <c r="M51" s="180"/>
    </row>
    <row r="52" spans="1:13" ht="27.75" customHeight="1" thickBot="1">
      <c r="A52" s="196"/>
      <c r="B52" s="33"/>
      <c r="C52" s="33"/>
      <c r="D52" s="146"/>
      <c r="E52" s="33"/>
      <c r="F52" s="33"/>
      <c r="G52" s="33"/>
      <c r="H52" s="276"/>
      <c r="I52" s="420" t="str">
        <f>VLOOKUP('amk,aikk, amm.vuosityö laskenta'!A35,'amk,aikk, amm.vuosityö laskenta'!A36:B39,2,FALSE)</f>
        <v>43004004 Amm.aikuisk.keskuksen kokaik.opettaja/Ylempi k.k.tutk.</v>
      </c>
      <c r="J52" s="429"/>
      <c r="K52" s="429"/>
      <c r="L52" s="429"/>
      <c r="M52" s="430"/>
    </row>
    <row r="53" spans="1:13" ht="14.25" customHeight="1" thickBot="1">
      <c r="A53" s="29"/>
      <c r="B53" s="246" t="s">
        <v>35</v>
      </c>
      <c r="C53" s="255"/>
      <c r="D53" s="246" t="s">
        <v>178</v>
      </c>
      <c r="E53" s="100"/>
      <c r="F53" s="185"/>
      <c r="G53" s="55"/>
      <c r="H53" s="277"/>
      <c r="I53" s="173" t="s">
        <v>200</v>
      </c>
      <c r="J53" s="174"/>
      <c r="K53" s="174"/>
      <c r="L53" s="107">
        <f>ROUND(VLOOKUP('amk,aikk, amm.vuosityö laskenta'!A35,'amk,aikk, amm.vuosityö laskenta'!$A$36:$G$39,2+'amk,aikk, amm.vuosityö laskenta'!A43,FALSE)*(1-B48/100),2)</f>
        <v>3883.41</v>
      </c>
      <c r="M53" s="178" t="s">
        <v>16</v>
      </c>
    </row>
    <row r="54" spans="1:13" ht="13.5" thickBot="1">
      <c r="A54" s="29"/>
      <c r="B54" s="177" t="s">
        <v>118</v>
      </c>
      <c r="C54" s="256"/>
      <c r="D54" s="177" t="s">
        <v>173</v>
      </c>
      <c r="E54" s="98"/>
      <c r="F54" s="98"/>
      <c r="G54" s="32"/>
      <c r="H54" s="277"/>
      <c r="I54" s="175" t="s">
        <v>81</v>
      </c>
      <c r="J54" s="160"/>
      <c r="K54" s="161"/>
      <c r="L54" s="111" t="str">
        <f>IF(B55=0," ",B55)</f>
        <v> </v>
      </c>
      <c r="M54" s="162" t="s">
        <v>16</v>
      </c>
    </row>
    <row r="55" spans="1:13" ht="13.5" thickBot="1">
      <c r="A55" s="29"/>
      <c r="B55" s="27"/>
      <c r="C55" s="192" t="s">
        <v>16</v>
      </c>
      <c r="D55" s="177" t="s">
        <v>174</v>
      </c>
      <c r="E55" s="98"/>
      <c r="F55" s="27"/>
      <c r="G55" s="192" t="s">
        <v>16</v>
      </c>
      <c r="H55" s="277"/>
      <c r="I55" s="176" t="s">
        <v>172</v>
      </c>
      <c r="J55" s="165"/>
      <c r="K55" s="165"/>
      <c r="L55" s="165" t="str">
        <f>IF(L46=0," ",ROUND(ROUND($B$55/163,2)*L46,2))</f>
        <v> </v>
      </c>
      <c r="M55" s="114" t="s">
        <v>16</v>
      </c>
    </row>
    <row r="56" spans="1:13" ht="12.75">
      <c r="A56" s="29"/>
      <c r="B56" s="253" t="str">
        <f>IF(B55=0," ",IF(B55&lt;L53,"Alle vähimmäispalkan!"," "))</f>
        <v> </v>
      </c>
      <c r="C56" s="32"/>
      <c r="D56" s="177"/>
      <c r="E56" s="98"/>
      <c r="F56" s="98"/>
      <c r="G56" s="32"/>
      <c r="H56" s="277"/>
      <c r="I56" s="176" t="s">
        <v>83</v>
      </c>
      <c r="J56" s="165"/>
      <c r="K56" s="165"/>
      <c r="L56" s="261" t="str">
        <f>IF(L48+L50=0," ",ROUND(ROUND(B55/163*0.15,2)*L48,2)+ROUND(ROUND($B$55/163*0.3,2)*L50,2))</f>
        <v> </v>
      </c>
      <c r="M56" s="164" t="s">
        <v>16</v>
      </c>
    </row>
    <row r="57" spans="1:13" ht="13.5" thickBot="1">
      <c r="A57" s="29"/>
      <c r="B57" s="42"/>
      <c r="C57" s="254"/>
      <c r="D57" s="177"/>
      <c r="E57" s="98"/>
      <c r="F57" s="98"/>
      <c r="G57" s="192"/>
      <c r="H57" s="277"/>
      <c r="I57" s="166" t="s">
        <v>179</v>
      </c>
      <c r="J57" s="167"/>
      <c r="K57" s="163"/>
      <c r="L57" s="205" t="str">
        <f>IF(F55=0," ",F55)</f>
        <v> </v>
      </c>
      <c r="M57" s="168" t="s">
        <v>16</v>
      </c>
    </row>
    <row r="58" spans="1:13" ht="13.5" thickBot="1">
      <c r="A58" s="249"/>
      <c r="B58" s="258"/>
      <c r="C58" s="257"/>
      <c r="D58" s="249"/>
      <c r="E58" s="70"/>
      <c r="F58" s="70"/>
      <c r="G58" s="71"/>
      <c r="H58" s="278"/>
      <c r="I58" s="169" t="s">
        <v>56</v>
      </c>
      <c r="J58" s="170"/>
      <c r="K58" s="170"/>
      <c r="L58" s="171" t="str">
        <f>IF(B55=0," ",SUM(L54:L57))</f>
        <v> </v>
      </c>
      <c r="M58" s="172" t="s">
        <v>16</v>
      </c>
    </row>
    <row r="59" spans="1:13" ht="13.5" customHeight="1" thickBot="1">
      <c r="A59" s="148" t="s">
        <v>289</v>
      </c>
      <c r="B59" s="149"/>
      <c r="C59" s="149"/>
      <c r="D59" s="149"/>
      <c r="E59" s="63"/>
      <c r="F59" s="63"/>
      <c r="G59" s="63"/>
      <c r="H59" s="63"/>
      <c r="I59" s="63"/>
      <c r="J59" s="63"/>
      <c r="K59" s="63"/>
      <c r="L59" s="63"/>
      <c r="M59" s="150"/>
    </row>
    <row r="60" spans="1:13" ht="13.5" customHeight="1">
      <c r="A60" s="195" t="s">
        <v>26</v>
      </c>
      <c r="B60" s="237" t="s">
        <v>78</v>
      </c>
      <c r="C60" s="182"/>
      <c r="D60" s="158"/>
      <c r="E60" s="414" t="s">
        <v>79</v>
      </c>
      <c r="F60" s="415"/>
      <c r="G60" s="416"/>
      <c r="H60" s="236" t="s">
        <v>116</v>
      </c>
      <c r="I60" s="105"/>
      <c r="J60" s="184"/>
      <c r="K60" s="184"/>
      <c r="L60" s="100"/>
      <c r="M60" s="55"/>
    </row>
    <row r="61" spans="1:13" ht="13.5" customHeight="1">
      <c r="A61" s="196"/>
      <c r="B61" s="186" t="s">
        <v>25</v>
      </c>
      <c r="C61" s="186"/>
      <c r="D61" s="146"/>
      <c r="E61" s="417" t="s">
        <v>170</v>
      </c>
      <c r="F61" s="418"/>
      <c r="G61" s="419"/>
      <c r="H61" s="177"/>
      <c r="I61" s="98" t="s">
        <v>322</v>
      </c>
      <c r="J61" s="99"/>
      <c r="K61" s="99"/>
      <c r="L61" s="89"/>
      <c r="M61" s="180" t="s">
        <v>54</v>
      </c>
    </row>
    <row r="62" spans="1:13" ht="4.5" customHeight="1">
      <c r="A62" s="196"/>
      <c r="B62" s="186"/>
      <c r="C62" s="186"/>
      <c r="D62" s="146"/>
      <c r="E62" s="121"/>
      <c r="F62" s="92"/>
      <c r="G62" s="204"/>
      <c r="H62" s="177"/>
      <c r="I62" s="98"/>
      <c r="J62" s="99"/>
      <c r="K62" s="99"/>
      <c r="L62" s="99">
        <v>2</v>
      </c>
      <c r="M62" s="180"/>
    </row>
    <row r="63" spans="1:13" ht="13.5" customHeight="1">
      <c r="A63" s="196"/>
      <c r="B63" s="101"/>
      <c r="C63" s="101"/>
      <c r="D63" s="146"/>
      <c r="E63" s="33"/>
      <c r="F63" s="33"/>
      <c r="G63" s="32"/>
      <c r="H63" s="42"/>
      <c r="I63" s="98" t="s">
        <v>323</v>
      </c>
      <c r="J63" s="99"/>
      <c r="K63" s="99"/>
      <c r="L63" s="89"/>
      <c r="M63" s="180" t="s">
        <v>54</v>
      </c>
    </row>
    <row r="64" spans="1:13" ht="6" customHeight="1">
      <c r="A64" s="196"/>
      <c r="B64" s="101"/>
      <c r="C64" s="101"/>
      <c r="D64" s="146"/>
      <c r="E64" s="33"/>
      <c r="F64" s="33"/>
      <c r="G64" s="32"/>
      <c r="H64" s="42"/>
      <c r="I64" s="121"/>
      <c r="J64" s="92"/>
      <c r="K64" s="92"/>
      <c r="L64" s="33"/>
      <c r="M64" s="32"/>
    </row>
    <row r="65" spans="1:13" ht="13.5" customHeight="1">
      <c r="A65" s="196"/>
      <c r="B65" s="101"/>
      <c r="C65" s="101"/>
      <c r="D65" s="146"/>
      <c r="E65" s="33"/>
      <c r="F65" s="33"/>
      <c r="G65" s="33"/>
      <c r="H65" s="42"/>
      <c r="I65" s="98" t="s">
        <v>324</v>
      </c>
      <c r="J65" s="92"/>
      <c r="K65" s="92"/>
      <c r="L65" s="89"/>
      <c r="M65" s="180" t="s">
        <v>54</v>
      </c>
    </row>
    <row r="66" spans="1:13" ht="7.5" customHeight="1" thickBot="1">
      <c r="A66" s="196"/>
      <c r="B66" s="101"/>
      <c r="C66" s="101"/>
      <c r="D66" s="146"/>
      <c r="E66" s="33"/>
      <c r="F66" s="33"/>
      <c r="G66" s="33"/>
      <c r="H66" s="42"/>
      <c r="I66" s="121"/>
      <c r="J66" s="92"/>
      <c r="K66" s="92"/>
      <c r="L66" s="33"/>
      <c r="M66" s="32"/>
    </row>
    <row r="67" spans="1:13" ht="13.5" customHeight="1">
      <c r="A67" s="196"/>
      <c r="B67" s="33"/>
      <c r="C67" s="33"/>
      <c r="D67" s="146"/>
      <c r="E67" s="33"/>
      <c r="F67" s="33"/>
      <c r="G67" s="33"/>
      <c r="H67" s="279"/>
      <c r="I67" s="420" t="str">
        <f>VLOOKUP('amk,aikk, amm.vuosityö laskenta'!A58,'amk,aikk, amm.vuosityö laskenta'!$A$59:$N$68,2,FALSE)</f>
        <v>41103003 Opinto-ohjaaja/ylempi korkeakoulututkinto</v>
      </c>
      <c r="J67" s="421"/>
      <c r="K67" s="421"/>
      <c r="L67" s="421"/>
      <c r="M67" s="422"/>
    </row>
    <row r="68" spans="1:13" ht="13.5" customHeight="1" thickBot="1">
      <c r="A68" s="196"/>
      <c r="B68" s="188" t="s">
        <v>203</v>
      </c>
      <c r="C68" s="188"/>
      <c r="D68" s="146"/>
      <c r="E68" s="33"/>
      <c r="F68" s="33"/>
      <c r="G68" s="33"/>
      <c r="H68" s="193"/>
      <c r="I68" s="423"/>
      <c r="J68" s="423"/>
      <c r="K68" s="423"/>
      <c r="L68" s="423"/>
      <c r="M68" s="424"/>
    </row>
    <row r="69" spans="1:15" ht="15.75" customHeight="1" thickBot="1">
      <c r="A69" s="196"/>
      <c r="B69" s="251"/>
      <c r="C69" s="191" t="s">
        <v>117</v>
      </c>
      <c r="D69" s="181"/>
      <c r="E69" s="33"/>
      <c r="F69" s="33"/>
      <c r="G69" s="33"/>
      <c r="H69" s="193"/>
      <c r="I69" s="303" t="s">
        <v>293</v>
      </c>
      <c r="J69" s="174"/>
      <c r="K69" s="174"/>
      <c r="L69" s="107">
        <f>ROUND(VLOOKUP('amk,aikk, amm.vuosityö laskenta'!$A$58,'amk,aikk, amm.vuosityö laskenta'!$A$59:$N$68,IF('amk,aikk, amm.vuosityö laskenta'!$A$70=1,2+'amk,aikk, amm.vuosityö laskenta'!$A$75,8+'amk,aikk, amm.vuosityö laskenta'!$A$75),FALSE)*(1-B69/100),2)</f>
        <v>3253.34</v>
      </c>
      <c r="M69" s="178" t="s">
        <v>16</v>
      </c>
      <c r="O69" s="259"/>
    </row>
    <row r="70" spans="1:13" ht="13.5" customHeight="1">
      <c r="A70" s="196"/>
      <c r="B70" s="238" t="s">
        <v>35</v>
      </c>
      <c r="C70" s="189"/>
      <c r="D70" s="239" t="s">
        <v>178</v>
      </c>
      <c r="E70" s="100"/>
      <c r="F70" s="185"/>
      <c r="G70" s="55"/>
      <c r="H70" s="193"/>
      <c r="I70" s="175" t="s">
        <v>81</v>
      </c>
      <c r="J70" s="160"/>
      <c r="K70" s="161"/>
      <c r="L70" s="111" t="str">
        <f>IF(B74=0," ",B74)</f>
        <v> </v>
      </c>
      <c r="M70" s="162" t="s">
        <v>16</v>
      </c>
    </row>
    <row r="71" spans="1:13" ht="13.5" customHeight="1" thickBot="1">
      <c r="A71" s="196"/>
      <c r="B71" s="33"/>
      <c r="C71" s="33"/>
      <c r="D71" s="177" t="s">
        <v>122</v>
      </c>
      <c r="E71" s="98"/>
      <c r="F71" s="98"/>
      <c r="G71" s="32"/>
      <c r="H71" s="193"/>
      <c r="I71" s="176" t="s">
        <v>325</v>
      </c>
      <c r="J71" s="165"/>
      <c r="K71" s="165"/>
      <c r="L71" s="301" t="str">
        <f>IF(L61=0," ",ROUND(ROUND(($B$74+$F$72)/125,2)*L61,2))</f>
        <v> </v>
      </c>
      <c r="M71" s="114" t="s">
        <v>16</v>
      </c>
    </row>
    <row r="72" spans="1:18" ht="13.5" customHeight="1" thickBot="1">
      <c r="A72" s="196"/>
      <c r="B72" s="33"/>
      <c r="C72" s="33"/>
      <c r="D72" s="177" t="s">
        <v>123</v>
      </c>
      <c r="E72" s="98"/>
      <c r="F72" s="27"/>
      <c r="G72" s="192" t="s">
        <v>16</v>
      </c>
      <c r="H72" s="193"/>
      <c r="I72" s="176" t="s">
        <v>326</v>
      </c>
      <c r="J72" s="165"/>
      <c r="K72" s="165"/>
      <c r="L72" s="301" t="str">
        <f>IF(B74=0," ",ROUND(ROUND(ROUND(($B$74+$F$72)/125,2)*1.5,2)*L63,2))</f>
        <v> </v>
      </c>
      <c r="M72" s="114" t="s">
        <v>16</v>
      </c>
      <c r="P72" s="36"/>
      <c r="Q72" s="36"/>
      <c r="R72" s="36"/>
    </row>
    <row r="73" spans="1:18" ht="13.5" customHeight="1" thickBot="1">
      <c r="A73" s="196"/>
      <c r="B73" s="98" t="s">
        <v>118</v>
      </c>
      <c r="C73" s="256"/>
      <c r="D73" s="370"/>
      <c r="E73" s="370"/>
      <c r="F73" s="370"/>
      <c r="G73" s="370"/>
      <c r="H73" s="193"/>
      <c r="I73" s="176" t="s">
        <v>83</v>
      </c>
      <c r="J73" s="165"/>
      <c r="K73" s="165"/>
      <c r="L73" s="301" t="str">
        <f>IF(L65=0," ",ROUND(ROUND(($B$74+$F$72)/125*0.5,2)*L65,2))</f>
        <v> </v>
      </c>
      <c r="M73" s="164" t="s">
        <v>16</v>
      </c>
      <c r="P73" s="36"/>
      <c r="Q73" s="36"/>
      <c r="R73" s="36"/>
    </row>
    <row r="74" spans="1:13" ht="13.5" customHeight="1" thickBot="1">
      <c r="A74" s="196"/>
      <c r="B74" s="27"/>
      <c r="C74" s="179" t="s">
        <v>16</v>
      </c>
      <c r="D74" s="177" t="s">
        <v>126</v>
      </c>
      <c r="E74" s="98"/>
      <c r="F74" s="98"/>
      <c r="G74" s="32"/>
      <c r="H74" s="193"/>
      <c r="I74" s="166" t="s">
        <v>179</v>
      </c>
      <c r="J74" s="167"/>
      <c r="K74" s="163"/>
      <c r="L74" s="205" t="str">
        <f>IF(F72+F75=0," ",F75+F72)</f>
        <v> </v>
      </c>
      <c r="M74" s="168" t="s">
        <v>16</v>
      </c>
    </row>
    <row r="75" spans="1:13" ht="13.5" customHeight="1" thickBot="1">
      <c r="A75" s="197"/>
      <c r="B75" s="412" t="str">
        <f>IF(B74=0," ",IF(B74&lt;L69,"Liian alhainen!"," "))</f>
        <v> </v>
      </c>
      <c r="C75" s="413"/>
      <c r="D75" s="202" t="s">
        <v>123</v>
      </c>
      <c r="E75" s="183"/>
      <c r="F75" s="27"/>
      <c r="G75" s="203" t="s">
        <v>16</v>
      </c>
      <c r="H75" s="194"/>
      <c r="I75" s="169" t="s">
        <v>56</v>
      </c>
      <c r="J75" s="170"/>
      <c r="K75" s="170"/>
      <c r="L75" s="171" t="str">
        <f>IF(B74=0," ",SUM(L70:L74))</f>
        <v> </v>
      </c>
      <c r="M75" s="172" t="s">
        <v>16</v>
      </c>
    </row>
    <row r="76" spans="1:13" ht="12.75">
      <c r="A76" s="30"/>
      <c r="B76" s="36"/>
      <c r="C76" s="36"/>
      <c r="D76" s="36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.75">
      <c r="A77" s="30"/>
      <c r="B77" s="36"/>
      <c r="C77" s="36"/>
      <c r="D77" s="36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2.75">
      <c r="A78" s="30"/>
      <c r="B78" s="36"/>
      <c r="C78" s="36"/>
      <c r="D78" s="36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3.5">
      <c r="A79" s="30"/>
      <c r="B79" s="36"/>
      <c r="C79" s="36"/>
      <c r="D79" s="36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3.5">
      <c r="A80" s="30"/>
      <c r="B80" s="36"/>
      <c r="C80" s="36"/>
      <c r="D80" s="36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3.5">
      <c r="A81" s="30"/>
      <c r="B81" s="36"/>
      <c r="C81" s="36"/>
      <c r="D81" s="36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3.5">
      <c r="A82" s="30"/>
      <c r="B82" s="36"/>
      <c r="C82" s="36"/>
      <c r="D82" s="36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3.5">
      <c r="A83" s="30"/>
      <c r="B83" s="36"/>
      <c r="C83" s="36"/>
      <c r="D83" s="36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3.5">
      <c r="A84" s="30"/>
      <c r="B84" s="36"/>
      <c r="C84" s="36"/>
      <c r="D84" s="36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3.5">
      <c r="A85" s="30"/>
      <c r="B85" s="36"/>
      <c r="C85" s="36"/>
      <c r="D85" s="36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3.5">
      <c r="A86" s="30"/>
      <c r="B86" s="36"/>
      <c r="C86" s="36"/>
      <c r="D86" s="36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3.5">
      <c r="A87" s="30"/>
      <c r="B87" s="36"/>
      <c r="C87" s="36"/>
      <c r="D87" s="36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3.5">
      <c r="A88" s="30"/>
      <c r="B88" s="36"/>
      <c r="C88" s="36"/>
      <c r="D88" s="36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3.5">
      <c r="A89" s="30"/>
      <c r="B89" s="36"/>
      <c r="C89" s="36"/>
      <c r="D89" s="36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3.5">
      <c r="A90" s="30"/>
      <c r="B90" s="36"/>
      <c r="C90" s="36"/>
      <c r="D90" s="36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3.5">
      <c r="A91" s="30"/>
      <c r="B91" s="36"/>
      <c r="C91" s="36"/>
      <c r="D91" s="36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3.5">
      <c r="A92" s="30"/>
      <c r="B92" s="36"/>
      <c r="C92" s="36"/>
      <c r="D92" s="36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3.5">
      <c r="A93" s="30"/>
      <c r="B93" s="36"/>
      <c r="C93" s="36"/>
      <c r="D93" s="36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3.5">
      <c r="A94" s="30"/>
      <c r="B94" s="36"/>
      <c r="C94" s="36"/>
      <c r="D94" s="36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3.5">
      <c r="A95" s="30"/>
      <c r="B95" s="36"/>
      <c r="C95" s="36"/>
      <c r="D95" s="36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3.5">
      <c r="A96" s="30"/>
      <c r="B96" s="36"/>
      <c r="C96" s="36"/>
      <c r="D96" s="36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3.5">
      <c r="A97" s="30"/>
      <c r="B97" s="36"/>
      <c r="C97" s="36"/>
      <c r="D97" s="36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3.5">
      <c r="A98" s="30"/>
      <c r="B98" s="36"/>
      <c r="C98" s="36"/>
      <c r="D98" s="36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3.5">
      <c r="A99" s="30"/>
      <c r="B99" s="36"/>
      <c r="C99" s="36"/>
      <c r="D99" s="36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3.5">
      <c r="A100" s="30"/>
      <c r="B100" s="36"/>
      <c r="C100" s="36"/>
      <c r="D100" s="36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3.5">
      <c r="A101" s="30"/>
      <c r="B101" s="36"/>
      <c r="C101" s="36"/>
      <c r="D101" s="36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3.5">
      <c r="A102" s="30"/>
      <c r="B102" s="36"/>
      <c r="C102" s="36"/>
      <c r="D102" s="36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3.5">
      <c r="A103" s="30"/>
      <c r="B103" s="36"/>
      <c r="C103" s="36"/>
      <c r="D103" s="36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3.5">
      <c r="A104" s="30"/>
      <c r="B104" s="36"/>
      <c r="C104" s="36"/>
      <c r="D104" s="36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3.5">
      <c r="A105" s="30"/>
      <c r="B105" s="36"/>
      <c r="C105" s="36"/>
      <c r="D105" s="36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3.5">
      <c r="A106" s="30"/>
      <c r="B106" s="36"/>
      <c r="C106" s="36"/>
      <c r="D106" s="36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3.5">
      <c r="A107" s="30"/>
      <c r="B107" s="36"/>
      <c r="C107" s="36"/>
      <c r="D107" s="36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3.5">
      <c r="A108" s="30"/>
      <c r="B108" s="36"/>
      <c r="C108" s="36"/>
      <c r="D108" s="36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3.5">
      <c r="A109" s="30"/>
      <c r="B109" s="36"/>
      <c r="C109" s="36"/>
      <c r="D109" s="36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3.5">
      <c r="A110" s="30"/>
      <c r="B110" s="36"/>
      <c r="C110" s="36"/>
      <c r="D110" s="36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3.5">
      <c r="A111" s="30"/>
      <c r="B111" s="36"/>
      <c r="C111" s="36"/>
      <c r="D111" s="36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3.5">
      <c r="A112" s="30"/>
      <c r="B112" s="36"/>
      <c r="C112" s="36"/>
      <c r="D112" s="36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3.5">
      <c r="A113" s="30"/>
      <c r="B113" s="36"/>
      <c r="C113" s="36"/>
      <c r="D113" s="36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>
      <c r="A114" s="30"/>
      <c r="B114" s="36"/>
      <c r="C114" s="36"/>
      <c r="D114" s="36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>
      <c r="A115" s="30"/>
      <c r="B115" s="36"/>
      <c r="C115" s="36"/>
      <c r="D115" s="36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>
      <c r="A116" s="30"/>
      <c r="B116" s="36"/>
      <c r="C116" s="36"/>
      <c r="D116" s="36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3.5">
      <c r="A117" s="30"/>
      <c r="B117" s="36"/>
      <c r="C117" s="36"/>
      <c r="D117" s="36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3.5">
      <c r="A118" s="30"/>
      <c r="B118" s="36"/>
      <c r="C118" s="36"/>
      <c r="D118" s="36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3.5">
      <c r="A119" s="30"/>
      <c r="B119" s="36"/>
      <c r="C119" s="36"/>
      <c r="D119" s="36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3.5">
      <c r="A120" s="30"/>
      <c r="B120" s="36"/>
      <c r="C120" s="36"/>
      <c r="D120" s="36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3.5">
      <c r="A121" s="30"/>
      <c r="B121" s="36"/>
      <c r="C121" s="36"/>
      <c r="D121" s="36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3.5">
      <c r="A122" s="30"/>
      <c r="B122" s="36"/>
      <c r="C122" s="36"/>
      <c r="D122" s="36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3.5">
      <c r="A123" s="30"/>
      <c r="B123" s="36"/>
      <c r="C123" s="36"/>
      <c r="D123" s="36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3.5">
      <c r="A124" s="30"/>
      <c r="B124" s="36"/>
      <c r="C124" s="36"/>
      <c r="D124" s="36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3.5">
      <c r="A125" s="30"/>
      <c r="B125" s="36"/>
      <c r="C125" s="36"/>
      <c r="D125" s="36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3.5">
      <c r="A126" s="30"/>
      <c r="B126" s="36"/>
      <c r="C126" s="36"/>
      <c r="D126" s="36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3.5">
      <c r="A127" s="30"/>
      <c r="B127" s="36"/>
      <c r="C127" s="36"/>
      <c r="D127" s="36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3.5">
      <c r="A128" s="30"/>
      <c r="B128" s="36"/>
      <c r="C128" s="36"/>
      <c r="D128" s="36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3.5">
      <c r="A129" s="30"/>
      <c r="B129" s="36"/>
      <c r="C129" s="36"/>
      <c r="D129" s="36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3.5">
      <c r="A130" s="30"/>
      <c r="B130" s="36"/>
      <c r="C130" s="36"/>
      <c r="D130" s="36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3.5">
      <c r="A131" s="30"/>
      <c r="B131" s="36"/>
      <c r="C131" s="36"/>
      <c r="D131" s="36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3.5">
      <c r="A132" s="30"/>
      <c r="B132" s="36"/>
      <c r="C132" s="36"/>
      <c r="D132" s="36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3.5">
      <c r="A133" s="30"/>
      <c r="B133" s="36"/>
      <c r="C133" s="36"/>
      <c r="D133" s="36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3.5">
      <c r="A134" s="30"/>
      <c r="B134" s="36"/>
      <c r="C134" s="36"/>
      <c r="D134" s="36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3.5">
      <c r="A135" s="30"/>
      <c r="B135" s="36"/>
      <c r="C135" s="36"/>
      <c r="D135" s="36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3.5">
      <c r="A136" s="30"/>
      <c r="B136" s="36"/>
      <c r="C136" s="36"/>
      <c r="D136" s="36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3.5">
      <c r="A137" s="30"/>
      <c r="B137" s="36"/>
      <c r="C137" s="36"/>
      <c r="D137" s="36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3.5">
      <c r="A138" s="30"/>
      <c r="B138" s="36"/>
      <c r="C138" s="36"/>
      <c r="D138" s="36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3.5">
      <c r="A139" s="30"/>
      <c r="B139" s="36"/>
      <c r="C139" s="36"/>
      <c r="D139" s="36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3.5">
      <c r="A140" s="30"/>
      <c r="B140" s="36"/>
      <c r="C140" s="36"/>
      <c r="D140" s="36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3.5">
      <c r="A141" s="30"/>
      <c r="B141" s="36"/>
      <c r="C141" s="36"/>
      <c r="D141" s="36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3.5">
      <c r="A142" s="30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3.5">
      <c r="A143" s="30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3.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3.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3.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3.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3.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</sheetData>
  <sheetProtection sheet="1" selectLockedCells="1"/>
  <protectedRanges>
    <protectedRange password="CD44" sqref="I8" name="sy?tt?3"/>
    <protectedRange password="CD64" sqref="F6 K8 K13" name="sy?tt?2"/>
    <protectedRange password="CD04" sqref="B13" name="sy?tt?1"/>
  </protectedRanges>
  <mergeCells count="24">
    <mergeCell ref="K3:M3"/>
    <mergeCell ref="K4:M4"/>
    <mergeCell ref="K11:L12"/>
    <mergeCell ref="E8:G11"/>
    <mergeCell ref="F23:G23"/>
    <mergeCell ref="B11:D12"/>
    <mergeCell ref="B18:I18"/>
    <mergeCell ref="B7:D8"/>
    <mergeCell ref="I5:J7"/>
    <mergeCell ref="D9:D10"/>
    <mergeCell ref="I67:M68"/>
    <mergeCell ref="B75:C75"/>
    <mergeCell ref="E45:G45"/>
    <mergeCell ref="E46:G46"/>
    <mergeCell ref="E60:G60"/>
    <mergeCell ref="E61:G61"/>
    <mergeCell ref="I52:M52"/>
    <mergeCell ref="B15:D17"/>
    <mergeCell ref="B42:C42"/>
    <mergeCell ref="E28:G28"/>
    <mergeCell ref="E29:G29"/>
    <mergeCell ref="I35:M36"/>
    <mergeCell ref="F22:G22"/>
    <mergeCell ref="B19:F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3:K1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421875" style="1" customWidth="1"/>
    <col min="2" max="2" width="16.00390625" style="1" customWidth="1"/>
    <col min="3" max="16384" width="9.140625" style="1" customWidth="1"/>
  </cols>
  <sheetData>
    <row r="2" ht="14.25" thickBot="1"/>
    <row r="3" spans="1:11" ht="14.25" thickBot="1">
      <c r="A3" s="26">
        <v>1</v>
      </c>
      <c r="B3" s="1" t="s">
        <v>0</v>
      </c>
      <c r="C3" s="3">
        <v>2</v>
      </c>
      <c r="D3" s="1" t="s">
        <v>6</v>
      </c>
      <c r="G3" s="3">
        <v>1</v>
      </c>
      <c r="H3" s="1" t="s">
        <v>32</v>
      </c>
      <c r="J3" s="3">
        <v>6</v>
      </c>
      <c r="K3" s="1" t="s">
        <v>45</v>
      </c>
    </row>
    <row r="4" spans="1:11" ht="13.5">
      <c r="A4" s="1">
        <v>1</v>
      </c>
      <c r="B4" s="1" t="s">
        <v>2</v>
      </c>
      <c r="C4" s="1">
        <v>1</v>
      </c>
      <c r="D4" s="1" t="s">
        <v>7</v>
      </c>
      <c r="G4" s="1">
        <v>1</v>
      </c>
      <c r="H4" s="1" t="s">
        <v>11</v>
      </c>
      <c r="J4" s="1">
        <v>1</v>
      </c>
      <c r="K4" s="1" t="s">
        <v>52</v>
      </c>
    </row>
    <row r="5" spans="1:11" ht="13.5">
      <c r="A5" s="1">
        <v>2</v>
      </c>
      <c r="B5" s="1" t="s">
        <v>3</v>
      </c>
      <c r="C5" s="1">
        <v>2</v>
      </c>
      <c r="D5" s="1" t="s">
        <v>8</v>
      </c>
      <c r="G5" s="1">
        <v>2</v>
      </c>
      <c r="H5" s="1" t="s">
        <v>24</v>
      </c>
      <c r="J5" s="1">
        <v>2</v>
      </c>
      <c r="K5" s="1" t="s">
        <v>46</v>
      </c>
    </row>
    <row r="6" spans="10:11" ht="13.5">
      <c r="J6" s="1">
        <v>3</v>
      </c>
      <c r="K6" s="1" t="s">
        <v>47</v>
      </c>
    </row>
    <row r="7" spans="7:11" ht="13.5">
      <c r="G7" s="1">
        <f>IF(KÄYTTÖTAULU!B13=0,0,1)</f>
        <v>0</v>
      </c>
      <c r="J7" s="1">
        <v>4</v>
      </c>
      <c r="K7" s="1" t="s">
        <v>48</v>
      </c>
    </row>
    <row r="8" spans="10:11" ht="13.5">
      <c r="J8" s="1">
        <v>5</v>
      </c>
      <c r="K8" s="1" t="s">
        <v>49</v>
      </c>
    </row>
    <row r="9" spans="10:11" ht="13.5">
      <c r="J9" s="1">
        <v>6</v>
      </c>
      <c r="K9" s="1" t="s">
        <v>50</v>
      </c>
    </row>
    <row r="11" ht="13.5">
      <c r="A11" s="1">
        <v>1</v>
      </c>
    </row>
    <row r="12" ht="13.5">
      <c r="B12" s="1" t="s">
        <v>166</v>
      </c>
    </row>
    <row r="13" ht="13.5">
      <c r="B13" s="1" t="s">
        <v>167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5"/>
  <dimension ref="A1:EY81"/>
  <sheetViews>
    <sheetView zoomScale="110" zoomScaleNormal="110" zoomScalePageLayoutView="0" workbookViewId="0" topLeftCell="A1">
      <selection activeCell="B28" sqref="B28"/>
    </sheetView>
  </sheetViews>
  <sheetFormatPr defaultColWidth="9.140625" defaultRowHeight="12.75"/>
  <cols>
    <col min="2" max="2" width="48.28125" style="0" customWidth="1"/>
    <col min="18" max="18" width="9.421875" style="0" bestFit="1" customWidth="1"/>
    <col min="20" max="20" width="7.421875" style="0" customWidth="1"/>
    <col min="26" max="27" width="9.28125" style="0" bestFit="1" customWidth="1"/>
  </cols>
  <sheetData>
    <row r="1" s="198" customFormat="1" ht="13.5">
      <c r="A1" s="122" t="s">
        <v>255</v>
      </c>
    </row>
    <row r="2" s="198" customFormat="1" ht="12"/>
    <row r="3" spans="3:12" s="198" customFormat="1" ht="14.25" thickBot="1">
      <c r="C3" s="292" t="s">
        <v>120</v>
      </c>
      <c r="D3" s="292" t="s">
        <v>120</v>
      </c>
      <c r="E3" s="292" t="s">
        <v>120</v>
      </c>
      <c r="F3" s="292" t="s">
        <v>120</v>
      </c>
      <c r="G3" s="299" t="s">
        <v>120</v>
      </c>
      <c r="H3" s="292" t="s">
        <v>121</v>
      </c>
      <c r="I3" s="292" t="s">
        <v>121</v>
      </c>
      <c r="J3" s="292" t="s">
        <v>121</v>
      </c>
      <c r="K3" s="292" t="s">
        <v>121</v>
      </c>
      <c r="L3" s="299" t="s">
        <v>121</v>
      </c>
    </row>
    <row r="4" spans="1:32" s="198" customFormat="1" ht="15" thickBot="1">
      <c r="A4" s="159">
        <v>1</v>
      </c>
      <c r="B4" s="198" t="s">
        <v>115</v>
      </c>
      <c r="C4" s="292" t="s">
        <v>95</v>
      </c>
      <c r="D4" s="292" t="s">
        <v>46</v>
      </c>
      <c r="E4" s="292" t="s">
        <v>48</v>
      </c>
      <c r="F4" s="292" t="s">
        <v>49</v>
      </c>
      <c r="G4" s="299" t="s">
        <v>50</v>
      </c>
      <c r="H4" s="292" t="s">
        <v>95</v>
      </c>
      <c r="I4" s="292" t="s">
        <v>46</v>
      </c>
      <c r="J4" s="292" t="s">
        <v>48</v>
      </c>
      <c r="K4" s="292" t="s">
        <v>49</v>
      </c>
      <c r="L4" s="299" t="s">
        <v>50</v>
      </c>
      <c r="P4" s="199" t="s">
        <v>253</v>
      </c>
      <c r="Q4" s="123"/>
      <c r="R4" s="124"/>
      <c r="S4" s="25"/>
      <c r="T4" s="25"/>
      <c r="U4" s="25"/>
      <c r="V4" s="25"/>
      <c r="W4" s="25"/>
      <c r="X4" s="215"/>
      <c r="Y4" s="215"/>
      <c r="Z4" s="215"/>
      <c r="AA4" s="215"/>
      <c r="AB4" s="25"/>
      <c r="AC4" s="25"/>
      <c r="AD4" s="25"/>
      <c r="AE4" s="25"/>
      <c r="AF4" s="25"/>
    </row>
    <row r="5" spans="1:32" s="198" customFormat="1" ht="13.5">
      <c r="A5" s="198">
        <v>1</v>
      </c>
      <c r="B5" s="198" t="s">
        <v>103</v>
      </c>
      <c r="C5" s="136">
        <f>W9</f>
        <v>5236.36</v>
      </c>
      <c r="D5" s="297">
        <f>W10</f>
        <v>5368</v>
      </c>
      <c r="E5" s="297">
        <f>W11</f>
        <v>5738.84</v>
      </c>
      <c r="F5" s="297">
        <f>W12</f>
        <v>6247.93</v>
      </c>
      <c r="G5" s="297">
        <f>W13</f>
        <v>6585.4</v>
      </c>
      <c r="H5" s="297">
        <f>X9</f>
        <v>5210.73</v>
      </c>
      <c r="I5" s="297">
        <f>X10</f>
        <v>5341.7</v>
      </c>
      <c r="J5" s="297">
        <f>X11</f>
        <v>5710.71</v>
      </c>
      <c r="K5" s="297">
        <f>X12</f>
        <v>6217.3</v>
      </c>
      <c r="L5" s="298">
        <f>X13</f>
        <v>6553.12</v>
      </c>
      <c r="P5" s="126"/>
      <c r="Q5" s="126"/>
      <c r="R5" s="126"/>
      <c r="S5" s="25"/>
      <c r="T5" s="25"/>
      <c r="U5" s="25"/>
      <c r="V5" s="25"/>
      <c r="W5" s="25" t="s">
        <v>269</v>
      </c>
      <c r="X5" s="215"/>
      <c r="Y5" s="215" t="s">
        <v>270</v>
      </c>
      <c r="Z5" s="215"/>
      <c r="AA5" s="215"/>
      <c r="AB5" s="25"/>
      <c r="AC5" s="25"/>
      <c r="AD5" s="25"/>
      <c r="AE5" s="25"/>
      <c r="AF5" s="25"/>
    </row>
    <row r="6" spans="1:32" s="198" customFormat="1" ht="15">
      <c r="A6" s="198">
        <v>2</v>
      </c>
      <c r="B6" s="198" t="s">
        <v>104</v>
      </c>
      <c r="C6" s="296">
        <f>U9</f>
        <v>4226.28</v>
      </c>
      <c r="D6" s="140">
        <f>U10</f>
        <v>4360.68</v>
      </c>
      <c r="E6" s="140">
        <f>U11</f>
        <v>4731.11</v>
      </c>
      <c r="F6" s="140">
        <f>U12</f>
        <v>5237.16</v>
      </c>
      <c r="G6" s="140">
        <f>U13</f>
        <v>5576.12</v>
      </c>
      <c r="H6" s="140">
        <f>V9</f>
        <v>4205.59</v>
      </c>
      <c r="I6" s="140">
        <f>V10</f>
        <v>4339.32</v>
      </c>
      <c r="J6" s="140">
        <f>V11</f>
        <v>4707.92</v>
      </c>
      <c r="K6" s="140">
        <f>V12</f>
        <v>5211.48</v>
      </c>
      <c r="L6" s="290">
        <f>V13</f>
        <v>5548.79</v>
      </c>
      <c r="P6" s="200" t="s">
        <v>84</v>
      </c>
      <c r="Q6" s="126"/>
      <c r="R6" s="25"/>
      <c r="S6" s="128"/>
      <c r="T6" s="128"/>
      <c r="U6" s="128"/>
      <c r="V6" s="129"/>
      <c r="W6" s="25"/>
      <c r="X6" s="215"/>
      <c r="Y6" s="215"/>
      <c r="Z6" s="215"/>
      <c r="AA6" s="215"/>
      <c r="AB6" s="25"/>
      <c r="AC6" s="25"/>
      <c r="AD6" s="25"/>
      <c r="AE6" s="25"/>
      <c r="AF6" s="25"/>
    </row>
    <row r="7" spans="1:33" s="198" customFormat="1" ht="13.5">
      <c r="A7" s="198">
        <v>3</v>
      </c>
      <c r="B7" s="198" t="s">
        <v>105</v>
      </c>
      <c r="C7" s="296">
        <f>C6</f>
        <v>4226.28</v>
      </c>
      <c r="D7" s="140">
        <f aca="true" t="shared" si="0" ref="D7:L7">D6</f>
        <v>4360.68</v>
      </c>
      <c r="E7" s="140">
        <f t="shared" si="0"/>
        <v>4731.11</v>
      </c>
      <c r="F7" s="140">
        <f t="shared" si="0"/>
        <v>5237.16</v>
      </c>
      <c r="G7" s="140">
        <f t="shared" si="0"/>
        <v>5576.12</v>
      </c>
      <c r="H7" s="140">
        <f t="shared" si="0"/>
        <v>4205.59</v>
      </c>
      <c r="I7" s="140">
        <f t="shared" si="0"/>
        <v>4339.32</v>
      </c>
      <c r="J7" s="140">
        <f t="shared" si="0"/>
        <v>4707.92</v>
      </c>
      <c r="K7" s="140">
        <f t="shared" si="0"/>
        <v>5211.48</v>
      </c>
      <c r="L7" s="290">
        <f t="shared" si="0"/>
        <v>5548.79</v>
      </c>
      <c r="P7" s="25"/>
      <c r="Q7" s="126"/>
      <c r="R7" s="25"/>
      <c r="S7" s="130"/>
      <c r="T7" s="131"/>
      <c r="U7" s="265" t="s">
        <v>340</v>
      </c>
      <c r="V7" s="129"/>
      <c r="W7" s="215" t="s">
        <v>102</v>
      </c>
      <c r="X7" s="215" t="s">
        <v>102</v>
      </c>
      <c r="Y7" s="215"/>
      <c r="Z7" s="260"/>
      <c r="AB7" s="215"/>
      <c r="AC7" s="25"/>
      <c r="AD7" s="25"/>
      <c r="AE7" s="215"/>
      <c r="AF7" s="215"/>
      <c r="AG7" s="25"/>
    </row>
    <row r="8" spans="1:33" s="198" customFormat="1" ht="13.5">
      <c r="A8" s="198">
        <v>4</v>
      </c>
      <c r="B8" s="198" t="s">
        <v>106</v>
      </c>
      <c r="C8" s="296">
        <f>W16</f>
        <v>4520.02</v>
      </c>
      <c r="D8" s="140">
        <f>W17</f>
        <v>4716.01</v>
      </c>
      <c r="E8" s="140">
        <f>W18</f>
        <v>5069.57</v>
      </c>
      <c r="F8" s="140">
        <f>W19</f>
        <v>5486.25</v>
      </c>
      <c r="G8" s="140">
        <f>W20</f>
        <v>5728.43</v>
      </c>
      <c r="H8" s="140">
        <f>X16</f>
        <v>4497.88</v>
      </c>
      <c r="I8" s="140">
        <f>X17</f>
        <v>4692.9</v>
      </c>
      <c r="J8" s="140">
        <f>X18</f>
        <v>5044.74</v>
      </c>
      <c r="K8" s="140">
        <f>X19</f>
        <v>5459.38</v>
      </c>
      <c r="L8" s="290">
        <f>X20</f>
        <v>5700.36</v>
      </c>
      <c r="P8" s="25" t="s">
        <v>85</v>
      </c>
      <c r="Q8" s="25" t="s">
        <v>86</v>
      </c>
      <c r="R8" s="25"/>
      <c r="S8" s="25"/>
      <c r="T8" s="25"/>
      <c r="U8" s="132" t="s">
        <v>2</v>
      </c>
      <c r="V8" s="132" t="s">
        <v>3</v>
      </c>
      <c r="W8" s="132" t="s">
        <v>2</v>
      </c>
      <c r="X8" s="132" t="s">
        <v>3</v>
      </c>
      <c r="Y8" s="215"/>
      <c r="Z8" s="132"/>
      <c r="AA8" s="132"/>
      <c r="AB8" s="25"/>
      <c r="AC8" s="132"/>
      <c r="AD8" s="132"/>
      <c r="AE8" s="132"/>
      <c r="AF8" s="132"/>
      <c r="AG8" s="25"/>
    </row>
    <row r="9" spans="1:33" s="198" customFormat="1" ht="13.5">
      <c r="A9" s="198">
        <v>5</v>
      </c>
      <c r="B9" s="198" t="s">
        <v>107</v>
      </c>
      <c r="C9" s="296">
        <f>U16</f>
        <v>3648.12</v>
      </c>
      <c r="D9" s="140">
        <f>U17</f>
        <v>3846.66</v>
      </c>
      <c r="E9" s="140">
        <f>U18</f>
        <v>4200.14</v>
      </c>
      <c r="F9" s="140">
        <f>U19</f>
        <v>4614.17</v>
      </c>
      <c r="G9" s="140">
        <f>U20</f>
        <v>4858.72</v>
      </c>
      <c r="H9" s="140">
        <f>V16</f>
        <v>3630.25</v>
      </c>
      <c r="I9" s="140">
        <f>V17</f>
        <v>3827.81</v>
      </c>
      <c r="J9" s="140">
        <f>V18</f>
        <v>4179.57</v>
      </c>
      <c r="K9" s="140">
        <f>V19</f>
        <v>4591.57</v>
      </c>
      <c r="L9" s="290">
        <f>V20</f>
        <v>4834.91</v>
      </c>
      <c r="P9" s="25"/>
      <c r="Q9" s="133" t="s">
        <v>87</v>
      </c>
      <c r="R9" s="25"/>
      <c r="S9" s="134" t="s">
        <v>88</v>
      </c>
      <c r="T9" s="135">
        <v>1</v>
      </c>
      <c r="U9" s="201">
        <v>4226.28</v>
      </c>
      <c r="V9" s="201">
        <v>4205.59</v>
      </c>
      <c r="W9" s="140">
        <f aca="true" t="shared" si="1" ref="W9:X13">ROUND(U9+$Y9*U9,2)</f>
        <v>5236.36</v>
      </c>
      <c r="X9" s="140">
        <f t="shared" si="1"/>
        <v>5210.73</v>
      </c>
      <c r="Y9" s="147">
        <v>0.239</v>
      </c>
      <c r="Z9" s="304"/>
      <c r="AA9" s="304"/>
      <c r="AB9" s="128"/>
      <c r="AC9" s="140"/>
      <c r="AD9" s="140"/>
      <c r="AE9" s="25"/>
      <c r="AF9" s="25"/>
      <c r="AG9" s="25"/>
    </row>
    <row r="10" spans="1:33" s="198" customFormat="1" ht="13.5">
      <c r="A10" s="198">
        <v>6</v>
      </c>
      <c r="B10" s="198" t="s">
        <v>108</v>
      </c>
      <c r="C10" s="296">
        <f aca="true" t="shared" si="2" ref="C10:L10">C9</f>
        <v>3648.12</v>
      </c>
      <c r="D10" s="140">
        <f t="shared" si="2"/>
        <v>3846.66</v>
      </c>
      <c r="E10" s="140">
        <f t="shared" si="2"/>
        <v>4200.14</v>
      </c>
      <c r="F10" s="140">
        <f t="shared" si="2"/>
        <v>4614.17</v>
      </c>
      <c r="G10" s="140">
        <f t="shared" si="2"/>
        <v>4858.72</v>
      </c>
      <c r="H10" s="140">
        <f t="shared" si="2"/>
        <v>3630.25</v>
      </c>
      <c r="I10" s="140">
        <f t="shared" si="2"/>
        <v>3827.81</v>
      </c>
      <c r="J10" s="140">
        <f t="shared" si="2"/>
        <v>4179.57</v>
      </c>
      <c r="K10" s="140">
        <f t="shared" si="2"/>
        <v>4591.57</v>
      </c>
      <c r="L10" s="290">
        <f t="shared" si="2"/>
        <v>4834.91</v>
      </c>
      <c r="P10" s="25"/>
      <c r="Q10" s="133"/>
      <c r="R10" s="25"/>
      <c r="S10" s="137" t="s">
        <v>251</v>
      </c>
      <c r="T10" s="25">
        <v>2</v>
      </c>
      <c r="U10" s="201">
        <v>4360.68</v>
      </c>
      <c r="V10" s="201">
        <v>4339.32</v>
      </c>
      <c r="W10" s="140">
        <f t="shared" si="1"/>
        <v>5368</v>
      </c>
      <c r="X10" s="140">
        <f t="shared" si="1"/>
        <v>5341.7</v>
      </c>
      <c r="Y10" s="147">
        <v>0.231</v>
      </c>
      <c r="Z10" s="304"/>
      <c r="AA10" s="304"/>
      <c r="AB10" s="128"/>
      <c r="AC10" s="140"/>
      <c r="AD10" s="140"/>
      <c r="AE10" s="25"/>
      <c r="AF10" s="25"/>
      <c r="AG10" s="25"/>
    </row>
    <row r="11" spans="1:33" s="198" customFormat="1" ht="13.5">
      <c r="A11" s="198">
        <v>7</v>
      </c>
      <c r="B11" s="198" t="s">
        <v>109</v>
      </c>
      <c r="C11" s="296">
        <f>C5</f>
        <v>5236.36</v>
      </c>
      <c r="D11" s="140">
        <f aca="true" t="shared" si="3" ref="D11:L11">D5</f>
        <v>5368</v>
      </c>
      <c r="E11" s="140">
        <f t="shared" si="3"/>
        <v>5738.84</v>
      </c>
      <c r="F11" s="140">
        <f t="shared" si="3"/>
        <v>6247.93</v>
      </c>
      <c r="G11" s="140">
        <f t="shared" si="3"/>
        <v>6585.4</v>
      </c>
      <c r="H11" s="140">
        <f t="shared" si="3"/>
        <v>5210.73</v>
      </c>
      <c r="I11" s="140">
        <f t="shared" si="3"/>
        <v>5341.7</v>
      </c>
      <c r="J11" s="140">
        <f t="shared" si="3"/>
        <v>5710.71</v>
      </c>
      <c r="K11" s="140">
        <f t="shared" si="3"/>
        <v>6217.3</v>
      </c>
      <c r="L11" s="290">
        <f t="shared" si="3"/>
        <v>6553.12</v>
      </c>
      <c r="P11" s="25"/>
      <c r="Q11" s="25"/>
      <c r="R11" s="25"/>
      <c r="S11" s="137" t="s">
        <v>89</v>
      </c>
      <c r="T11" s="25">
        <v>3</v>
      </c>
      <c r="U11" s="201">
        <v>4731.11</v>
      </c>
      <c r="V11" s="201">
        <v>4707.92</v>
      </c>
      <c r="W11" s="140">
        <f t="shared" si="1"/>
        <v>5738.84</v>
      </c>
      <c r="X11" s="140">
        <f t="shared" si="1"/>
        <v>5710.71</v>
      </c>
      <c r="Y11" s="147">
        <v>0.213</v>
      </c>
      <c r="Z11" s="304"/>
      <c r="AA11" s="304"/>
      <c r="AB11" s="128"/>
      <c r="AC11" s="140"/>
      <c r="AD11" s="140"/>
      <c r="AE11" s="25"/>
      <c r="AF11" s="25"/>
      <c r="AG11" s="25"/>
    </row>
    <row r="12" spans="1:33" s="198" customFormat="1" ht="13.5">
      <c r="A12" s="198">
        <v>8</v>
      </c>
      <c r="B12" s="198" t="s">
        <v>110</v>
      </c>
      <c r="C12" s="296">
        <f>C6</f>
        <v>4226.28</v>
      </c>
      <c r="D12" s="140">
        <f aca="true" t="shared" si="4" ref="D12:L12">D6</f>
        <v>4360.68</v>
      </c>
      <c r="E12" s="140">
        <f t="shared" si="4"/>
        <v>4731.11</v>
      </c>
      <c r="F12" s="140">
        <f t="shared" si="4"/>
        <v>5237.16</v>
      </c>
      <c r="G12" s="140">
        <f t="shared" si="4"/>
        <v>5576.12</v>
      </c>
      <c r="H12" s="140">
        <f t="shared" si="4"/>
        <v>4205.59</v>
      </c>
      <c r="I12" s="140">
        <f t="shared" si="4"/>
        <v>4339.32</v>
      </c>
      <c r="J12" s="140">
        <f t="shared" si="4"/>
        <v>4707.92</v>
      </c>
      <c r="K12" s="140">
        <f t="shared" si="4"/>
        <v>5211.48</v>
      </c>
      <c r="L12" s="290">
        <f t="shared" si="4"/>
        <v>5548.79</v>
      </c>
      <c r="P12" s="25"/>
      <c r="Q12" s="25"/>
      <c r="R12" s="25"/>
      <c r="S12" s="137" t="s">
        <v>90</v>
      </c>
      <c r="T12" s="25">
        <v>4</v>
      </c>
      <c r="U12" s="201">
        <v>5237.16</v>
      </c>
      <c r="V12" s="201">
        <v>5211.48</v>
      </c>
      <c r="W12" s="140">
        <f t="shared" si="1"/>
        <v>6247.93</v>
      </c>
      <c r="X12" s="140">
        <f t="shared" si="1"/>
        <v>6217.3</v>
      </c>
      <c r="Y12" s="147">
        <v>0.193</v>
      </c>
      <c r="Z12" s="304"/>
      <c r="AA12" s="304"/>
      <c r="AB12" s="128"/>
      <c r="AC12" s="140"/>
      <c r="AD12" s="140"/>
      <c r="AE12" s="25"/>
      <c r="AF12" s="25"/>
      <c r="AG12" s="25"/>
    </row>
    <row r="13" spans="1:33" s="198" customFormat="1" ht="13.5">
      <c r="A13" s="198">
        <v>9</v>
      </c>
      <c r="B13" s="198" t="s">
        <v>111</v>
      </c>
      <c r="C13" s="296">
        <f>C7</f>
        <v>4226.28</v>
      </c>
      <c r="D13" s="140">
        <f aca="true" t="shared" si="5" ref="D13:L13">D7</f>
        <v>4360.68</v>
      </c>
      <c r="E13" s="140">
        <f t="shared" si="5"/>
        <v>4731.11</v>
      </c>
      <c r="F13" s="140">
        <f t="shared" si="5"/>
        <v>5237.16</v>
      </c>
      <c r="G13" s="140">
        <f t="shared" si="5"/>
        <v>5576.12</v>
      </c>
      <c r="H13" s="140">
        <f t="shared" si="5"/>
        <v>4205.59</v>
      </c>
      <c r="I13" s="140">
        <f t="shared" si="5"/>
        <v>4339.32</v>
      </c>
      <c r="J13" s="140">
        <f t="shared" si="5"/>
        <v>4707.92</v>
      </c>
      <c r="K13" s="140">
        <f t="shared" si="5"/>
        <v>5211.48</v>
      </c>
      <c r="L13" s="290">
        <f t="shared" si="5"/>
        <v>5548.79</v>
      </c>
      <c r="P13" s="25"/>
      <c r="Q13" s="25"/>
      <c r="R13" s="25"/>
      <c r="S13" s="138" t="s">
        <v>252</v>
      </c>
      <c r="T13" s="139">
        <v>5</v>
      </c>
      <c r="U13" s="201">
        <v>5576.12</v>
      </c>
      <c r="V13" s="201">
        <v>5548.79</v>
      </c>
      <c r="W13" s="140">
        <f t="shared" si="1"/>
        <v>6585.4</v>
      </c>
      <c r="X13" s="140">
        <f t="shared" si="1"/>
        <v>6553.12</v>
      </c>
      <c r="Y13" s="147">
        <v>0.181</v>
      </c>
      <c r="Z13" s="304"/>
      <c r="AA13" s="304"/>
      <c r="AB13" s="128"/>
      <c r="AC13" s="140"/>
      <c r="AD13" s="140"/>
      <c r="AE13" s="25"/>
      <c r="AF13" s="25"/>
      <c r="AG13" s="25"/>
    </row>
    <row r="14" spans="1:33" s="198" customFormat="1" ht="13.5">
      <c r="A14" s="198">
        <v>10</v>
      </c>
      <c r="B14" s="198" t="s">
        <v>112</v>
      </c>
      <c r="C14" s="296">
        <f>C8</f>
        <v>4520.02</v>
      </c>
      <c r="D14" s="140">
        <f aca="true" t="shared" si="6" ref="D14:L14">D8</f>
        <v>4716.01</v>
      </c>
      <c r="E14" s="140">
        <f t="shared" si="6"/>
        <v>5069.57</v>
      </c>
      <c r="F14" s="140">
        <f t="shared" si="6"/>
        <v>5486.25</v>
      </c>
      <c r="G14" s="140">
        <f t="shared" si="6"/>
        <v>5728.43</v>
      </c>
      <c r="H14" s="140">
        <f t="shared" si="6"/>
        <v>4497.88</v>
      </c>
      <c r="I14" s="140">
        <f t="shared" si="6"/>
        <v>4692.9</v>
      </c>
      <c r="J14" s="140">
        <f t="shared" si="6"/>
        <v>5044.74</v>
      </c>
      <c r="K14" s="140">
        <f t="shared" si="6"/>
        <v>5459.38</v>
      </c>
      <c r="L14" s="290">
        <f t="shared" si="6"/>
        <v>5700.36</v>
      </c>
      <c r="P14" s="25"/>
      <c r="Q14" s="25"/>
      <c r="R14" s="25"/>
      <c r="S14" s="25"/>
      <c r="T14" s="25"/>
      <c r="U14" s="201"/>
      <c r="V14" s="201"/>
      <c r="W14" s="25"/>
      <c r="X14" s="25"/>
      <c r="Y14" s="243"/>
      <c r="Z14" s="215"/>
      <c r="AB14" s="128"/>
      <c r="AC14" s="140"/>
      <c r="AD14" s="140"/>
      <c r="AE14" s="25"/>
      <c r="AF14" s="25"/>
      <c r="AG14" s="25"/>
    </row>
    <row r="15" spans="1:33" s="198" customFormat="1" ht="13.5">
      <c r="A15" s="198">
        <v>11</v>
      </c>
      <c r="B15" s="198" t="s">
        <v>113</v>
      </c>
      <c r="C15" s="296">
        <f aca="true" t="shared" si="7" ref="C15:L15">C9</f>
        <v>3648.12</v>
      </c>
      <c r="D15" s="140">
        <f t="shared" si="7"/>
        <v>3846.66</v>
      </c>
      <c r="E15" s="140">
        <f t="shared" si="7"/>
        <v>4200.14</v>
      </c>
      <c r="F15" s="140">
        <f t="shared" si="7"/>
        <v>4614.17</v>
      </c>
      <c r="G15" s="140">
        <f t="shared" si="7"/>
        <v>4858.72</v>
      </c>
      <c r="H15" s="140">
        <f t="shared" si="7"/>
        <v>3630.25</v>
      </c>
      <c r="I15" s="140">
        <f t="shared" si="7"/>
        <v>3827.81</v>
      </c>
      <c r="J15" s="140">
        <f t="shared" si="7"/>
        <v>4179.57</v>
      </c>
      <c r="K15" s="140">
        <f t="shared" si="7"/>
        <v>4591.57</v>
      </c>
      <c r="L15" s="290">
        <f t="shared" si="7"/>
        <v>4834.91</v>
      </c>
      <c r="P15" s="25" t="s">
        <v>85</v>
      </c>
      <c r="Q15" s="128" t="s">
        <v>91</v>
      </c>
      <c r="R15" s="25"/>
      <c r="S15" s="25"/>
      <c r="T15" s="25"/>
      <c r="U15" s="201"/>
      <c r="V15" s="201"/>
      <c r="W15" s="25"/>
      <c r="X15" s="25"/>
      <c r="Y15" s="243"/>
      <c r="Z15" s="215"/>
      <c r="AB15" s="128"/>
      <c r="AC15" s="140"/>
      <c r="AD15" s="140"/>
      <c r="AE15" s="25"/>
      <c r="AF15" s="25"/>
      <c r="AG15" s="25"/>
    </row>
    <row r="16" spans="1:33" s="198" customFormat="1" ht="13.5">
      <c r="A16" s="198">
        <v>12</v>
      </c>
      <c r="B16" s="198" t="s">
        <v>114</v>
      </c>
      <c r="C16" s="296">
        <f aca="true" t="shared" si="8" ref="C16:L16">C10</f>
        <v>3648.12</v>
      </c>
      <c r="D16" s="140">
        <f>D10</f>
        <v>3846.66</v>
      </c>
      <c r="E16" s="140">
        <f t="shared" si="8"/>
        <v>4200.14</v>
      </c>
      <c r="F16" s="140">
        <f t="shared" si="8"/>
        <v>4614.17</v>
      </c>
      <c r="G16" s="140">
        <f t="shared" si="8"/>
        <v>4858.72</v>
      </c>
      <c r="H16" s="140">
        <f t="shared" si="8"/>
        <v>3630.25</v>
      </c>
      <c r="I16" s="140">
        <f t="shared" si="8"/>
        <v>3827.81</v>
      </c>
      <c r="J16" s="140">
        <f t="shared" si="8"/>
        <v>4179.57</v>
      </c>
      <c r="K16" s="140">
        <f t="shared" si="8"/>
        <v>4591.57</v>
      </c>
      <c r="L16" s="290">
        <f t="shared" si="8"/>
        <v>4834.91</v>
      </c>
      <c r="P16" s="126"/>
      <c r="Q16" s="133" t="s">
        <v>92</v>
      </c>
      <c r="R16" s="25"/>
      <c r="S16" s="134" t="s">
        <v>88</v>
      </c>
      <c r="T16" s="135">
        <v>1</v>
      </c>
      <c r="U16" s="201">
        <v>3648.12</v>
      </c>
      <c r="V16" s="201">
        <v>3630.25</v>
      </c>
      <c r="W16" s="140">
        <f aca="true" t="shared" si="9" ref="W16:X20">ROUND(U16+$Y16*U16,2)</f>
        <v>4520.02</v>
      </c>
      <c r="X16" s="140">
        <f t="shared" si="9"/>
        <v>4497.88</v>
      </c>
      <c r="Y16" s="147">
        <v>0.239</v>
      </c>
      <c r="Z16" s="304"/>
      <c r="AA16" s="304"/>
      <c r="AB16" s="128"/>
      <c r="AC16" s="140"/>
      <c r="AD16" s="140"/>
      <c r="AE16" s="25"/>
      <c r="AF16" s="25"/>
      <c r="AG16" s="25"/>
    </row>
    <row r="17" spans="1:33" s="198" customFormat="1" ht="13.5">
      <c r="A17" s="368">
        <v>13</v>
      </c>
      <c r="B17" s="287" t="s">
        <v>327</v>
      </c>
      <c r="C17" s="288">
        <f>U23</f>
        <v>3274.6</v>
      </c>
      <c r="D17" s="289">
        <f>U24</f>
        <v>3418.58</v>
      </c>
      <c r="E17" s="289">
        <f>U25</f>
        <v>3674.85</v>
      </c>
      <c r="F17" s="289">
        <f>U26</f>
        <v>3975.02</v>
      </c>
      <c r="G17" s="289">
        <f>U27</f>
        <v>4152.3</v>
      </c>
      <c r="H17" s="289">
        <f>V23</f>
        <v>3233.01</v>
      </c>
      <c r="I17" s="289">
        <f>V24</f>
        <v>3375.16</v>
      </c>
      <c r="J17" s="289">
        <f>V25</f>
        <v>3628.17</v>
      </c>
      <c r="K17" s="289">
        <f>V26</f>
        <v>3924.54</v>
      </c>
      <c r="L17" s="291">
        <f>V27</f>
        <v>4099.57</v>
      </c>
      <c r="P17" s="126"/>
      <c r="Q17" s="133" t="s">
        <v>93</v>
      </c>
      <c r="R17" s="25"/>
      <c r="S17" s="137" t="s">
        <v>251</v>
      </c>
      <c r="T17" s="25">
        <v>2</v>
      </c>
      <c r="U17" s="201">
        <v>3846.66</v>
      </c>
      <c r="V17" s="201">
        <v>3827.81</v>
      </c>
      <c r="W17" s="140">
        <f t="shared" si="9"/>
        <v>4716.01</v>
      </c>
      <c r="X17" s="140">
        <f t="shared" si="9"/>
        <v>4692.9</v>
      </c>
      <c r="Y17" s="147">
        <v>0.226</v>
      </c>
      <c r="Z17" s="304"/>
      <c r="AA17" s="304"/>
      <c r="AB17" s="128"/>
      <c r="AC17" s="140"/>
      <c r="AD17" s="140"/>
      <c r="AE17" s="25"/>
      <c r="AF17" s="25"/>
      <c r="AG17" s="25"/>
    </row>
    <row r="18" spans="16:33" s="198" customFormat="1" ht="14.25" thickBot="1">
      <c r="P18" s="126"/>
      <c r="Q18" s="25"/>
      <c r="R18" s="25"/>
      <c r="S18" s="137" t="s">
        <v>89</v>
      </c>
      <c r="T18" s="25">
        <v>3</v>
      </c>
      <c r="U18" s="201">
        <v>4200.14</v>
      </c>
      <c r="V18" s="201">
        <v>4179.57</v>
      </c>
      <c r="W18" s="140">
        <f t="shared" si="9"/>
        <v>5069.57</v>
      </c>
      <c r="X18" s="140">
        <f t="shared" si="9"/>
        <v>5044.74</v>
      </c>
      <c r="Y18" s="147">
        <v>0.207</v>
      </c>
      <c r="Z18" s="304"/>
      <c r="AA18" s="304"/>
      <c r="AB18" s="128"/>
      <c r="AC18" s="140"/>
      <c r="AD18" s="140"/>
      <c r="AE18" s="25"/>
      <c r="AF18" s="25"/>
      <c r="AG18" s="25"/>
    </row>
    <row r="19" spans="1:33" s="198" customFormat="1" ht="14.25" thickBot="1">
      <c r="A19" s="26">
        <v>1</v>
      </c>
      <c r="B19" s="25" t="s">
        <v>0</v>
      </c>
      <c r="C19" s="293">
        <f>A4</f>
        <v>1</v>
      </c>
      <c r="D19" s="135" t="s">
        <v>329</v>
      </c>
      <c r="E19" s="294"/>
      <c r="F19" s="294">
        <f>A4</f>
        <v>1</v>
      </c>
      <c r="G19" s="135" t="s">
        <v>329</v>
      </c>
      <c r="H19" s="294"/>
      <c r="I19" s="294">
        <f>A4</f>
        <v>1</v>
      </c>
      <c r="J19" s="135" t="s">
        <v>329</v>
      </c>
      <c r="K19" s="294"/>
      <c r="L19" s="295"/>
      <c r="P19" s="126"/>
      <c r="Q19" s="25"/>
      <c r="R19" s="25"/>
      <c r="S19" s="137" t="s">
        <v>90</v>
      </c>
      <c r="T19" s="25">
        <v>4</v>
      </c>
      <c r="U19" s="201">
        <v>4614.17</v>
      </c>
      <c r="V19" s="201">
        <v>4591.57</v>
      </c>
      <c r="W19" s="140">
        <f t="shared" si="9"/>
        <v>5486.25</v>
      </c>
      <c r="X19" s="140">
        <f t="shared" si="9"/>
        <v>5459.38</v>
      </c>
      <c r="Y19" s="147">
        <v>0.189</v>
      </c>
      <c r="Z19" s="304"/>
      <c r="AA19" s="304"/>
      <c r="AB19" s="128"/>
      <c r="AC19" s="140"/>
      <c r="AD19" s="140"/>
      <c r="AE19" s="25"/>
      <c r="AF19" s="25"/>
      <c r="AG19" s="25"/>
    </row>
    <row r="20" spans="1:33" s="198" customFormat="1" ht="13.5">
      <c r="A20" s="25">
        <v>1</v>
      </c>
      <c r="B20" s="25" t="s">
        <v>2</v>
      </c>
      <c r="C20" s="381">
        <v>0</v>
      </c>
      <c r="D20" s="198" t="s">
        <v>125</v>
      </c>
      <c r="F20" s="198">
        <v>0</v>
      </c>
      <c r="G20" s="198" t="s">
        <v>263</v>
      </c>
      <c r="I20" s="198">
        <v>0</v>
      </c>
      <c r="J20" s="198" t="s">
        <v>264</v>
      </c>
      <c r="L20" s="287"/>
      <c r="P20" s="126"/>
      <c r="Q20" s="25"/>
      <c r="R20" s="25"/>
      <c r="S20" s="138" t="s">
        <v>252</v>
      </c>
      <c r="T20" s="139">
        <v>5</v>
      </c>
      <c r="U20" s="201">
        <v>4858.72</v>
      </c>
      <c r="V20" s="201">
        <v>4834.91</v>
      </c>
      <c r="W20" s="140">
        <f t="shared" si="9"/>
        <v>5728.43</v>
      </c>
      <c r="X20" s="140">
        <f t="shared" si="9"/>
        <v>5700.36</v>
      </c>
      <c r="Y20" s="147">
        <v>0.179</v>
      </c>
      <c r="Z20" s="304"/>
      <c r="AA20" s="304"/>
      <c r="AB20" s="128"/>
      <c r="AC20" s="140"/>
      <c r="AD20" s="140"/>
      <c r="AE20" s="25"/>
      <c r="AF20" s="25"/>
      <c r="AG20" s="25"/>
    </row>
    <row r="21" spans="1:22" s="198" customFormat="1" ht="13.5">
      <c r="A21" s="25">
        <v>2</v>
      </c>
      <c r="B21" s="25" t="s">
        <v>3</v>
      </c>
      <c r="C21" s="382">
        <v>13</v>
      </c>
      <c r="D21" s="244" t="s">
        <v>330</v>
      </c>
      <c r="E21" s="244"/>
      <c r="F21" s="244">
        <v>13</v>
      </c>
      <c r="G21" s="244" t="s">
        <v>330</v>
      </c>
      <c r="H21" s="244"/>
      <c r="I21" s="244">
        <v>13</v>
      </c>
      <c r="J21" s="244" t="s">
        <v>330</v>
      </c>
      <c r="K21" s="244"/>
      <c r="L21" s="383"/>
      <c r="U21" s="201"/>
      <c r="V21" s="201"/>
    </row>
    <row r="22" spans="21:22" s="198" customFormat="1" ht="13.5">
      <c r="U22" s="201"/>
      <c r="V22" s="201"/>
    </row>
    <row r="23" spans="16:22" s="198" customFormat="1" ht="13.5">
      <c r="P23" s="25" t="s">
        <v>328</v>
      </c>
      <c r="Q23" s="128" t="s">
        <v>220</v>
      </c>
      <c r="S23" s="134" t="s">
        <v>88</v>
      </c>
      <c r="T23" s="135"/>
      <c r="U23" s="201">
        <v>3274.6</v>
      </c>
      <c r="V23" s="201">
        <v>3233.01</v>
      </c>
    </row>
    <row r="24" spans="1:22" s="198" customFormat="1" ht="13.5">
      <c r="A24" s="126">
        <v>1</v>
      </c>
      <c r="B24" s="25" t="s">
        <v>169</v>
      </c>
      <c r="Q24" s="133" t="s">
        <v>219</v>
      </c>
      <c r="S24" s="137" t="s">
        <v>251</v>
      </c>
      <c r="T24" s="25"/>
      <c r="U24" s="201">
        <v>3418.58</v>
      </c>
      <c r="V24" s="201">
        <v>3375.16</v>
      </c>
    </row>
    <row r="25" spans="1:22" s="198" customFormat="1" ht="13.5">
      <c r="A25" s="25">
        <v>1</v>
      </c>
      <c r="B25" s="25" t="s">
        <v>52</v>
      </c>
      <c r="S25" s="137" t="s">
        <v>89</v>
      </c>
      <c r="T25" s="25"/>
      <c r="U25" s="201">
        <v>3674.85</v>
      </c>
      <c r="V25" s="201">
        <v>3628.17</v>
      </c>
    </row>
    <row r="26" spans="1:22" s="198" customFormat="1" ht="13.5">
      <c r="A26" s="198">
        <v>2</v>
      </c>
      <c r="B26" s="25" t="s">
        <v>46</v>
      </c>
      <c r="S26" s="137" t="s">
        <v>90</v>
      </c>
      <c r="T26" s="25"/>
      <c r="U26" s="201">
        <v>3975.02</v>
      </c>
      <c r="V26" s="201">
        <v>3924.54</v>
      </c>
    </row>
    <row r="27" spans="1:22" s="198" customFormat="1" ht="13.5">
      <c r="A27" s="25">
        <v>3</v>
      </c>
      <c r="B27" s="25" t="s">
        <v>48</v>
      </c>
      <c r="S27" s="138" t="s">
        <v>252</v>
      </c>
      <c r="T27" s="139"/>
      <c r="U27" s="201">
        <v>4152.3</v>
      </c>
      <c r="V27" s="201">
        <v>4099.57</v>
      </c>
    </row>
    <row r="28" spans="1:2" s="198" customFormat="1" ht="13.5">
      <c r="A28" s="198">
        <v>4</v>
      </c>
      <c r="B28" s="25" t="s">
        <v>49</v>
      </c>
    </row>
    <row r="29" spans="1:155" s="244" customFormat="1" ht="13.5">
      <c r="A29" s="25">
        <v>5</v>
      </c>
      <c r="B29" s="25" t="s">
        <v>50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</row>
    <row r="30" spans="1:155" ht="12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4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</row>
    <row r="33" spans="1:16" ht="13.5">
      <c r="A33" s="122" t="s">
        <v>254</v>
      </c>
      <c r="P33" s="331" t="s">
        <v>224</v>
      </c>
    </row>
    <row r="34" ht="12.75" thickBot="1">
      <c r="P34" s="300" t="s">
        <v>321</v>
      </c>
    </row>
    <row r="35" spans="1:26" ht="14.25" thickBot="1">
      <c r="A35" s="159">
        <v>1</v>
      </c>
      <c r="B35" s="198" t="s">
        <v>115</v>
      </c>
      <c r="C35" s="292" t="s">
        <v>95</v>
      </c>
      <c r="D35" s="292" t="s">
        <v>46</v>
      </c>
      <c r="E35" s="292" t="s">
        <v>48</v>
      </c>
      <c r="F35" s="292" t="s">
        <v>49</v>
      </c>
      <c r="G35" s="299" t="s">
        <v>50</v>
      </c>
      <c r="O35" s="1"/>
      <c r="P35" s="3"/>
      <c r="Q35" s="1"/>
      <c r="Z35" s="1"/>
    </row>
    <row r="36" spans="1:26" ht="13.5">
      <c r="A36" s="198">
        <v>1</v>
      </c>
      <c r="B36" s="287" t="s">
        <v>65</v>
      </c>
      <c r="C36" s="11">
        <f>R43</f>
        <v>3883.41</v>
      </c>
      <c r="D36" s="11">
        <f>T43</f>
        <v>4077.56</v>
      </c>
      <c r="E36" s="11">
        <f>V43</f>
        <v>4281.45</v>
      </c>
      <c r="F36" s="11">
        <f>X43</f>
        <v>4495.53</v>
      </c>
      <c r="G36" s="290">
        <f>Z43</f>
        <v>4675.35</v>
      </c>
      <c r="O36" s="1"/>
      <c r="P36" s="1"/>
      <c r="Z36" s="1"/>
    </row>
    <row r="37" spans="1:26" ht="13.5">
      <c r="A37" s="198">
        <v>2</v>
      </c>
      <c r="B37" s="287" t="s">
        <v>66</v>
      </c>
      <c r="C37" s="11">
        <f>R44</f>
        <v>3653.05</v>
      </c>
      <c r="D37" s="11">
        <f>T44</f>
        <v>3835.7</v>
      </c>
      <c r="E37" s="11">
        <f>V44</f>
        <v>4027.48</v>
      </c>
      <c r="F37" s="11">
        <f>X44</f>
        <v>4228.85</v>
      </c>
      <c r="G37" s="290">
        <f>Z44</f>
        <v>4398.03</v>
      </c>
      <c r="O37" s="1"/>
      <c r="P37" s="3"/>
      <c r="Z37" s="1"/>
    </row>
    <row r="38" spans="1:26" ht="13.5">
      <c r="A38" s="198">
        <v>3</v>
      </c>
      <c r="B38" s="287" t="s">
        <v>67</v>
      </c>
      <c r="C38" s="11">
        <f>R45</f>
        <v>3172.2</v>
      </c>
      <c r="D38" s="11">
        <f>T45</f>
        <v>3330.83</v>
      </c>
      <c r="E38" s="11">
        <f>V45</f>
        <v>3497.36</v>
      </c>
      <c r="F38" s="11">
        <f>X45</f>
        <v>3672.24</v>
      </c>
      <c r="G38" s="290">
        <f>Z45</f>
        <v>3819.11</v>
      </c>
      <c r="O38" s="1"/>
      <c r="P38" s="1"/>
      <c r="Z38" s="1"/>
    </row>
    <row r="39" spans="1:26" ht="13.5">
      <c r="A39" s="198">
        <v>4</v>
      </c>
      <c r="B39" s="287" t="s">
        <v>262</v>
      </c>
      <c r="C39" s="288">
        <f>R46</f>
        <v>2889.3</v>
      </c>
      <c r="D39" s="289">
        <f>T46</f>
        <v>3033.79</v>
      </c>
      <c r="E39" s="289">
        <f>V46</f>
        <v>3185.47</v>
      </c>
      <c r="F39" s="289">
        <f>X46</f>
        <v>3344.76</v>
      </c>
      <c r="G39" s="291">
        <f>Z46</f>
        <v>3478.55</v>
      </c>
      <c r="O39" s="1"/>
      <c r="P39" s="1"/>
      <c r="Z39" s="1"/>
    </row>
    <row r="40" spans="2:27" ht="13.5">
      <c r="B40" s="1"/>
      <c r="O40" s="1"/>
      <c r="P40" s="25"/>
      <c r="Q40" s="25"/>
      <c r="R40" s="25"/>
      <c r="S40" s="25"/>
      <c r="T40" s="126"/>
      <c r="U40" s="25"/>
      <c r="V40" s="1"/>
      <c r="W40" s="125"/>
      <c r="X40" s="125"/>
      <c r="Y40" s="125"/>
      <c r="Z40" s="125"/>
      <c r="AA40" s="1"/>
    </row>
    <row r="41" spans="1:27" ht="13.5">
      <c r="A41" s="10"/>
      <c r="B41" s="1"/>
      <c r="O41" s="1"/>
      <c r="P41" s="1"/>
      <c r="Q41" s="1"/>
      <c r="R41" s="141" t="s">
        <v>95</v>
      </c>
      <c r="S41" s="142" t="s">
        <v>95</v>
      </c>
      <c r="T41" s="141" t="s">
        <v>46</v>
      </c>
      <c r="U41" s="142" t="s">
        <v>46</v>
      </c>
      <c r="V41" s="141" t="s">
        <v>48</v>
      </c>
      <c r="W41" s="142" t="s">
        <v>48</v>
      </c>
      <c r="X41" s="141" t="s">
        <v>49</v>
      </c>
      <c r="Y41" s="142" t="s">
        <v>49</v>
      </c>
      <c r="Z41" s="135" t="s">
        <v>50</v>
      </c>
      <c r="AA41" s="142" t="s">
        <v>50</v>
      </c>
    </row>
    <row r="42" spans="1:27" ht="13.5">
      <c r="A42" s="10"/>
      <c r="B42" s="1"/>
      <c r="O42" s="1"/>
      <c r="P42" s="1"/>
      <c r="Q42" s="1"/>
      <c r="R42" s="143" t="s">
        <v>96</v>
      </c>
      <c r="S42" s="144" t="s">
        <v>97</v>
      </c>
      <c r="T42" s="143" t="s">
        <v>96</v>
      </c>
      <c r="U42" s="144" t="s">
        <v>97</v>
      </c>
      <c r="V42" s="143" t="s">
        <v>96</v>
      </c>
      <c r="W42" s="144" t="s">
        <v>97</v>
      </c>
      <c r="X42" s="143" t="s">
        <v>96</v>
      </c>
      <c r="Y42" s="144" t="s">
        <v>97</v>
      </c>
      <c r="Z42" s="25" t="s">
        <v>96</v>
      </c>
      <c r="AA42" s="144" t="s">
        <v>97</v>
      </c>
    </row>
    <row r="43" spans="1:27" ht="13.5">
      <c r="A43" s="126">
        <v>1</v>
      </c>
      <c r="B43" s="25" t="s">
        <v>169</v>
      </c>
      <c r="O43" s="1"/>
      <c r="P43" s="128">
        <v>43004004</v>
      </c>
      <c r="Q43" s="25" t="s">
        <v>98</v>
      </c>
      <c r="R43" s="136">
        <v>3883.41</v>
      </c>
      <c r="S43" s="136">
        <v>4559.49</v>
      </c>
      <c r="T43" s="136">
        <v>4077.56</v>
      </c>
      <c r="U43" s="136">
        <v>4753.68</v>
      </c>
      <c r="V43" s="136">
        <v>4281.45</v>
      </c>
      <c r="W43" s="136">
        <v>4957.56</v>
      </c>
      <c r="X43" s="136">
        <v>4495.53</v>
      </c>
      <c r="Y43" s="136">
        <v>5171.62</v>
      </c>
      <c r="Z43" s="136">
        <v>4675.35</v>
      </c>
      <c r="AA43" s="136">
        <v>5351.48</v>
      </c>
    </row>
    <row r="44" spans="1:27" ht="13.5">
      <c r="A44" s="25">
        <v>1</v>
      </c>
      <c r="B44" s="25" t="s">
        <v>52</v>
      </c>
      <c r="O44" s="1"/>
      <c r="P44" s="128">
        <v>43004005</v>
      </c>
      <c r="Q44" s="25" t="s">
        <v>99</v>
      </c>
      <c r="R44" s="136">
        <v>3653.05</v>
      </c>
      <c r="S44" s="136">
        <v>4187.45</v>
      </c>
      <c r="T44" s="136">
        <v>3835.7</v>
      </c>
      <c r="U44" s="136">
        <v>4370.12</v>
      </c>
      <c r="V44" s="136">
        <v>4027.48</v>
      </c>
      <c r="W44" s="136">
        <v>4561.88</v>
      </c>
      <c r="X44" s="136">
        <v>4228.85</v>
      </c>
      <c r="Y44" s="136">
        <v>4763.27</v>
      </c>
      <c r="Z44" s="136">
        <v>4398.03</v>
      </c>
      <c r="AA44" s="136">
        <v>4932.44</v>
      </c>
    </row>
    <row r="45" spans="1:27" ht="13.5">
      <c r="A45" s="25">
        <v>2</v>
      </c>
      <c r="B45" s="25" t="s">
        <v>46</v>
      </c>
      <c r="J45" s="198"/>
      <c r="K45" s="198"/>
      <c r="O45" s="1"/>
      <c r="P45" s="128">
        <v>43004006</v>
      </c>
      <c r="Q45" s="25" t="s">
        <v>100</v>
      </c>
      <c r="R45" s="136">
        <v>3172.2</v>
      </c>
      <c r="S45" s="136">
        <v>3638.9</v>
      </c>
      <c r="T45" s="136">
        <v>3330.83</v>
      </c>
      <c r="U45" s="136">
        <v>3797.49</v>
      </c>
      <c r="V45" s="136">
        <v>3497.36</v>
      </c>
      <c r="W45" s="136">
        <v>3964.06</v>
      </c>
      <c r="X45" s="136">
        <v>3672.24</v>
      </c>
      <c r="Y45" s="136">
        <v>4138.92</v>
      </c>
      <c r="Z45" s="136">
        <v>3819.11</v>
      </c>
      <c r="AA45" s="136">
        <v>4285.79</v>
      </c>
    </row>
    <row r="46" spans="1:27" ht="13.5">
      <c r="A46" s="25">
        <v>3</v>
      </c>
      <c r="B46" s="25" t="s">
        <v>48</v>
      </c>
      <c r="O46" s="1"/>
      <c r="P46" s="128">
        <v>43004007</v>
      </c>
      <c r="Q46" s="25" t="s">
        <v>101</v>
      </c>
      <c r="R46" s="136">
        <v>2889.3</v>
      </c>
      <c r="S46" s="136">
        <v>3259.78</v>
      </c>
      <c r="T46" s="136">
        <v>3033.79</v>
      </c>
      <c r="U46" s="136">
        <v>3404.25</v>
      </c>
      <c r="V46" s="136">
        <v>3185.47</v>
      </c>
      <c r="W46" s="136">
        <v>3555.92</v>
      </c>
      <c r="X46" s="136">
        <v>3344.76</v>
      </c>
      <c r="Y46" s="136">
        <v>3715.2</v>
      </c>
      <c r="Z46" s="136">
        <v>3478.55</v>
      </c>
      <c r="AA46" s="136">
        <v>3848.98</v>
      </c>
    </row>
    <row r="47" spans="1:2" ht="13.5">
      <c r="A47" s="25">
        <v>4</v>
      </c>
      <c r="B47" s="25" t="s">
        <v>49</v>
      </c>
    </row>
    <row r="48" spans="1:9" ht="13.5">
      <c r="A48" s="25">
        <v>5</v>
      </c>
      <c r="B48" s="25" t="s">
        <v>50</v>
      </c>
      <c r="I48" s="198"/>
    </row>
    <row r="50" spans="1:155" s="294" customFormat="1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</row>
    <row r="51" spans="1:155" ht="12">
      <c r="A51" s="294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294"/>
      <c r="CS51" s="294"/>
      <c r="CT51" s="294"/>
      <c r="CU51" s="294"/>
      <c r="CV51" s="294"/>
      <c r="CW51" s="294"/>
      <c r="CX51" s="294"/>
      <c r="CY51" s="294"/>
      <c r="CZ51" s="294"/>
      <c r="DA51" s="294"/>
      <c r="DB51" s="294"/>
      <c r="DC51" s="294"/>
      <c r="DD51" s="294"/>
      <c r="DE51" s="294"/>
      <c r="DF51" s="294"/>
      <c r="DG51" s="294"/>
      <c r="DH51" s="294"/>
      <c r="DI51" s="294"/>
      <c r="DJ51" s="294"/>
      <c r="DK51" s="294"/>
      <c r="DL51" s="294"/>
      <c r="DM51" s="294"/>
      <c r="DN51" s="294"/>
      <c r="DO51" s="294"/>
      <c r="DP51" s="294"/>
      <c r="DQ51" s="294"/>
      <c r="DR51" s="294"/>
      <c r="DS51" s="294"/>
      <c r="DT51" s="294"/>
      <c r="DU51" s="294"/>
      <c r="DV51" s="294"/>
      <c r="DW51" s="294"/>
      <c r="DX51" s="294"/>
      <c r="DY51" s="294"/>
      <c r="DZ51" s="294"/>
      <c r="EA51" s="294"/>
      <c r="EB51" s="294"/>
      <c r="EC51" s="294"/>
      <c r="ED51" s="294"/>
      <c r="EE51" s="294"/>
      <c r="EF51" s="294"/>
      <c r="EG51" s="294"/>
      <c r="EH51" s="294"/>
      <c r="EI51" s="294"/>
      <c r="EJ51" s="294"/>
      <c r="EK51" s="294"/>
      <c r="EL51" s="294"/>
      <c r="EM51" s="294"/>
      <c r="EN51" s="294"/>
      <c r="EO51" s="294"/>
      <c r="EP51" s="294"/>
      <c r="EQ51" s="294"/>
      <c r="ER51" s="294"/>
      <c r="ES51" s="294"/>
      <c r="ET51" s="294"/>
      <c r="EU51" s="294"/>
      <c r="EV51" s="294"/>
      <c r="EW51" s="294"/>
      <c r="EX51" s="294"/>
      <c r="EY51" s="294"/>
    </row>
    <row r="53" ht="12">
      <c r="A53" s="369" t="s">
        <v>319</v>
      </c>
    </row>
    <row r="55" spans="1:14" ht="13.5">
      <c r="A55" s="122" t="s">
        <v>320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</row>
    <row r="56" spans="1:14" ht="13.5">
      <c r="A56" s="198"/>
      <c r="B56" s="198"/>
      <c r="C56" s="25" t="s">
        <v>306</v>
      </c>
      <c r="D56" s="25"/>
      <c r="E56" s="126"/>
      <c r="F56" s="25"/>
      <c r="G56" s="1"/>
      <c r="H56" s="125"/>
      <c r="I56" s="125" t="s">
        <v>307</v>
      </c>
      <c r="J56" s="125"/>
      <c r="K56" s="125"/>
      <c r="L56" s="1"/>
      <c r="M56" s="1"/>
      <c r="N56" s="1"/>
    </row>
    <row r="57" spans="1:14" ht="14.25" thickBot="1">
      <c r="A57" s="198"/>
      <c r="B57" s="198"/>
      <c r="C57" s="282" t="s">
        <v>95</v>
      </c>
      <c r="D57" s="142" t="s">
        <v>46</v>
      </c>
      <c r="E57" s="282" t="s">
        <v>47</v>
      </c>
      <c r="F57" s="142" t="s">
        <v>48</v>
      </c>
      <c r="G57" s="282" t="s">
        <v>49</v>
      </c>
      <c r="H57" s="135" t="s">
        <v>50</v>
      </c>
      <c r="I57" s="362" t="s">
        <v>95</v>
      </c>
      <c r="J57" s="142" t="s">
        <v>46</v>
      </c>
      <c r="K57" s="282" t="s">
        <v>47</v>
      </c>
      <c r="L57" s="142" t="s">
        <v>48</v>
      </c>
      <c r="M57" s="282" t="s">
        <v>49</v>
      </c>
      <c r="N57" s="142" t="s">
        <v>50</v>
      </c>
    </row>
    <row r="58" spans="1:14" ht="14.25" thickBot="1">
      <c r="A58" s="159">
        <v>1</v>
      </c>
      <c r="B58" s="198" t="s">
        <v>115</v>
      </c>
      <c r="C58" s="361" t="s">
        <v>2</v>
      </c>
      <c r="D58" s="144" t="s">
        <v>2</v>
      </c>
      <c r="E58" s="361" t="s">
        <v>2</v>
      </c>
      <c r="F58" s="144" t="s">
        <v>2</v>
      </c>
      <c r="G58" s="361" t="s">
        <v>2</v>
      </c>
      <c r="H58" s="25" t="s">
        <v>2</v>
      </c>
      <c r="I58" s="363" t="s">
        <v>3</v>
      </c>
      <c r="J58" s="144" t="s">
        <v>3</v>
      </c>
      <c r="K58" s="361" t="s">
        <v>3</v>
      </c>
      <c r="L58" s="144" t="s">
        <v>3</v>
      </c>
      <c r="M58" s="361" t="s">
        <v>3</v>
      </c>
      <c r="N58" s="144" t="s">
        <v>3</v>
      </c>
    </row>
    <row r="59" spans="1:14" ht="13.5">
      <c r="A59" s="198">
        <v>1</v>
      </c>
      <c r="B59" s="198" t="s">
        <v>309</v>
      </c>
      <c r="C59" s="286">
        <v>3253.34</v>
      </c>
      <c r="D59" s="286">
        <v>3318.42</v>
      </c>
      <c r="E59" s="286">
        <v>3417.98</v>
      </c>
      <c r="F59" s="286">
        <v>3588.86</v>
      </c>
      <c r="G59" s="286">
        <v>3868.8</v>
      </c>
      <c r="H59" s="286">
        <v>4023.56</v>
      </c>
      <c r="I59" s="286">
        <v>3206.53</v>
      </c>
      <c r="J59" s="286">
        <v>3270.68</v>
      </c>
      <c r="K59" s="286">
        <v>3368.79</v>
      </c>
      <c r="L59" s="286">
        <v>3537.22</v>
      </c>
      <c r="M59" s="286">
        <v>3813.13</v>
      </c>
      <c r="N59" s="286">
        <v>3965.66</v>
      </c>
    </row>
    <row r="60" spans="1:14" ht="13.5">
      <c r="A60" s="198">
        <v>2</v>
      </c>
      <c r="B60" s="198" t="s">
        <v>310</v>
      </c>
      <c r="C60" s="286">
        <v>3159.77</v>
      </c>
      <c r="D60" s="286">
        <v>3222.97</v>
      </c>
      <c r="E60" s="286">
        <v>3319.66</v>
      </c>
      <c r="F60" s="286">
        <v>3485.65</v>
      </c>
      <c r="G60" s="286">
        <v>3757.52</v>
      </c>
      <c r="H60" s="286">
        <v>3907.82</v>
      </c>
      <c r="I60" s="286">
        <v>3114.5</v>
      </c>
      <c r="J60" s="286">
        <v>3176.8</v>
      </c>
      <c r="K60" s="286">
        <v>3272.09</v>
      </c>
      <c r="L60" s="286">
        <v>3435.7</v>
      </c>
      <c r="M60" s="286">
        <v>3703.68</v>
      </c>
      <c r="N60" s="286">
        <v>3851.83</v>
      </c>
    </row>
    <row r="61" spans="1:14" ht="13.5">
      <c r="A61" s="198">
        <v>3</v>
      </c>
      <c r="B61" s="198" t="s">
        <v>311</v>
      </c>
      <c r="C61" s="286">
        <v>3498.1</v>
      </c>
      <c r="D61" s="286">
        <v>3691.6</v>
      </c>
      <c r="E61" s="286">
        <v>3828.33</v>
      </c>
      <c r="F61" s="286">
        <v>4041.64</v>
      </c>
      <c r="G61" s="286">
        <v>4267.75</v>
      </c>
      <c r="H61" s="286">
        <v>4507.43</v>
      </c>
      <c r="I61" s="286">
        <v>3451.7</v>
      </c>
      <c r="J61" s="286">
        <v>3642.45</v>
      </c>
      <c r="K61" s="286">
        <v>3777.25</v>
      </c>
      <c r="L61" s="286">
        <v>3987.53</v>
      </c>
      <c r="M61" s="286">
        <v>4210.44</v>
      </c>
      <c r="N61" s="286">
        <v>4446.71</v>
      </c>
    </row>
    <row r="62" spans="1:14" ht="13.5">
      <c r="A62" s="198">
        <v>4</v>
      </c>
      <c r="B62" s="198" t="s">
        <v>312</v>
      </c>
      <c r="C62" s="286">
        <v>3152.19</v>
      </c>
      <c r="D62" s="286">
        <v>3326.55</v>
      </c>
      <c r="E62" s="286">
        <v>3449.76</v>
      </c>
      <c r="F62" s="286">
        <v>3641.99</v>
      </c>
      <c r="G62" s="286">
        <v>3845.74</v>
      </c>
      <c r="H62" s="286">
        <v>4061.72</v>
      </c>
      <c r="I62" s="286">
        <v>3110.39</v>
      </c>
      <c r="J62" s="286">
        <v>3282.28</v>
      </c>
      <c r="K62" s="286">
        <v>3403.75</v>
      </c>
      <c r="L62" s="286">
        <v>3593.23</v>
      </c>
      <c r="M62" s="286">
        <v>3794.11</v>
      </c>
      <c r="N62" s="286">
        <v>4007.01</v>
      </c>
    </row>
    <row r="63" spans="1:14" ht="13.5">
      <c r="A63" s="198">
        <v>5</v>
      </c>
      <c r="B63" s="198" t="s">
        <v>313</v>
      </c>
      <c r="C63" s="286">
        <v>2844.44</v>
      </c>
      <c r="D63" s="286">
        <v>3001.77</v>
      </c>
      <c r="E63" s="286">
        <v>3112.97</v>
      </c>
      <c r="F63" s="286">
        <v>3286.43</v>
      </c>
      <c r="G63" s="286">
        <v>3470.28</v>
      </c>
      <c r="H63" s="286">
        <v>3665.17</v>
      </c>
      <c r="I63" s="286">
        <v>2806.76</v>
      </c>
      <c r="J63" s="286">
        <v>2961.88</v>
      </c>
      <c r="K63" s="286">
        <v>3071.48</v>
      </c>
      <c r="L63" s="286">
        <v>3242.49</v>
      </c>
      <c r="M63" s="286">
        <v>3423.73</v>
      </c>
      <c r="N63" s="286">
        <v>3615.86</v>
      </c>
    </row>
    <row r="64" spans="1:14" ht="13.5">
      <c r="A64" s="198">
        <v>6</v>
      </c>
      <c r="B64" s="198" t="s">
        <v>314</v>
      </c>
      <c r="C64" s="286">
        <v>2801.84</v>
      </c>
      <c r="D64" s="286">
        <v>2956.83</v>
      </c>
      <c r="E64" s="286">
        <v>3066.36</v>
      </c>
      <c r="F64" s="286">
        <v>3237.21</v>
      </c>
      <c r="G64" s="286">
        <v>3418.32</v>
      </c>
      <c r="H64" s="286">
        <v>3610.31</v>
      </c>
      <c r="I64" s="286">
        <v>2765.08</v>
      </c>
      <c r="J64" s="286">
        <v>2917.89</v>
      </c>
      <c r="K64" s="286">
        <v>3025.87</v>
      </c>
      <c r="L64" s="286">
        <v>3194.32</v>
      </c>
      <c r="M64" s="286">
        <v>3372.88</v>
      </c>
      <c r="N64" s="286">
        <v>3562.16</v>
      </c>
    </row>
    <row r="65" spans="1:14" ht="13.5">
      <c r="A65" s="198">
        <v>7</v>
      </c>
      <c r="B65" s="198" t="s">
        <v>315</v>
      </c>
      <c r="C65" s="286">
        <v>3498.1</v>
      </c>
      <c r="D65" s="286">
        <v>3691.6</v>
      </c>
      <c r="E65" s="286">
        <v>3828.33</v>
      </c>
      <c r="F65" s="286">
        <v>4041.64</v>
      </c>
      <c r="G65" s="286">
        <v>4267.75</v>
      </c>
      <c r="H65" s="286">
        <v>4507.43</v>
      </c>
      <c r="I65" s="286">
        <v>3451.7</v>
      </c>
      <c r="J65" s="286">
        <v>3642.45</v>
      </c>
      <c r="K65" s="286">
        <v>3777.25</v>
      </c>
      <c r="L65" s="286">
        <v>3987.53</v>
      </c>
      <c r="M65" s="286">
        <v>4210.44</v>
      </c>
      <c r="N65" s="286">
        <v>4446.71</v>
      </c>
    </row>
    <row r="66" spans="1:14" ht="13.5">
      <c r="A66" s="198">
        <v>8</v>
      </c>
      <c r="B66" s="198" t="s">
        <v>316</v>
      </c>
      <c r="C66" s="286">
        <v>3152.19</v>
      </c>
      <c r="D66" s="286">
        <v>3326.55</v>
      </c>
      <c r="E66" s="286">
        <v>3449.76</v>
      </c>
      <c r="F66" s="286">
        <v>3641.99</v>
      </c>
      <c r="G66" s="286">
        <v>3845.74</v>
      </c>
      <c r="H66" s="286">
        <v>4061.72</v>
      </c>
      <c r="I66" s="286">
        <v>3110.39</v>
      </c>
      <c r="J66" s="286">
        <v>3282.28</v>
      </c>
      <c r="K66" s="286">
        <v>3403.75</v>
      </c>
      <c r="L66" s="286">
        <v>3593.23</v>
      </c>
      <c r="M66" s="286">
        <v>3794.11</v>
      </c>
      <c r="N66" s="286">
        <v>4007.01</v>
      </c>
    </row>
    <row r="67" spans="1:14" ht="13.5">
      <c r="A67" s="198">
        <v>9</v>
      </c>
      <c r="B67" s="198" t="s">
        <v>317</v>
      </c>
      <c r="C67" s="286">
        <v>2844.44</v>
      </c>
      <c r="D67" s="286">
        <v>3001.77</v>
      </c>
      <c r="E67" s="286">
        <v>3112.97</v>
      </c>
      <c r="F67" s="286">
        <v>3286.43</v>
      </c>
      <c r="G67" s="286">
        <v>3470.28</v>
      </c>
      <c r="H67" s="286">
        <v>3665.17</v>
      </c>
      <c r="I67" s="286">
        <v>2806.76</v>
      </c>
      <c r="J67" s="286">
        <v>2961.88</v>
      </c>
      <c r="K67" s="286">
        <v>3071.48</v>
      </c>
      <c r="L67" s="286">
        <v>3242.49</v>
      </c>
      <c r="M67" s="286">
        <v>3423.73</v>
      </c>
      <c r="N67" s="286">
        <v>3615.86</v>
      </c>
    </row>
    <row r="68" spans="1:14" ht="13.5">
      <c r="A68" s="198">
        <v>10</v>
      </c>
      <c r="B68" s="198" t="s">
        <v>318</v>
      </c>
      <c r="C68" s="286">
        <v>2801.84</v>
      </c>
      <c r="D68" s="286">
        <v>2956.83</v>
      </c>
      <c r="E68" s="286">
        <v>3066.36</v>
      </c>
      <c r="F68" s="286">
        <v>3237.21</v>
      </c>
      <c r="G68" s="286">
        <v>3418.32</v>
      </c>
      <c r="H68" s="286">
        <v>3610.31</v>
      </c>
      <c r="I68" s="286">
        <v>2765.08</v>
      </c>
      <c r="J68" s="286">
        <v>2917.89</v>
      </c>
      <c r="K68" s="286">
        <v>3025.87</v>
      </c>
      <c r="L68" s="286">
        <v>3194.32</v>
      </c>
      <c r="M68" s="286">
        <v>3372.88</v>
      </c>
      <c r="N68" s="286">
        <v>3562.16</v>
      </c>
    </row>
    <row r="69" ht="12.75" thickBot="1"/>
    <row r="70" spans="1:2" ht="14.25" thickBot="1">
      <c r="A70" s="26">
        <v>1</v>
      </c>
      <c r="B70" s="25" t="s">
        <v>0</v>
      </c>
    </row>
    <row r="71" spans="1:2" ht="13.5">
      <c r="A71" s="25">
        <v>1</v>
      </c>
      <c r="B71" s="25" t="s">
        <v>2</v>
      </c>
    </row>
    <row r="72" spans="1:2" ht="13.5">
      <c r="A72" s="25">
        <v>2</v>
      </c>
      <c r="B72" s="25" t="s">
        <v>3</v>
      </c>
    </row>
    <row r="73" spans="1:2" ht="12">
      <c r="A73" s="198"/>
      <c r="B73" s="198"/>
    </row>
    <row r="74" spans="1:2" ht="12">
      <c r="A74" s="198"/>
      <c r="B74" s="198"/>
    </row>
    <row r="75" spans="1:2" ht="13.5">
      <c r="A75" s="126">
        <v>1</v>
      </c>
      <c r="B75" s="25" t="s">
        <v>169</v>
      </c>
    </row>
    <row r="76" spans="1:2" ht="13.5">
      <c r="A76" s="25">
        <v>1</v>
      </c>
      <c r="B76" s="25" t="s">
        <v>52</v>
      </c>
    </row>
    <row r="77" spans="1:2" ht="13.5">
      <c r="A77" s="25">
        <v>2</v>
      </c>
      <c r="B77" s="25" t="s">
        <v>46</v>
      </c>
    </row>
    <row r="78" spans="1:2" ht="13.5">
      <c r="A78" s="25">
        <v>3</v>
      </c>
      <c r="B78" s="25" t="s">
        <v>47</v>
      </c>
    </row>
    <row r="79" spans="1:2" ht="13.5">
      <c r="A79" s="25">
        <v>4</v>
      </c>
      <c r="B79" s="25" t="s">
        <v>48</v>
      </c>
    </row>
    <row r="80" spans="1:2" ht="13.5">
      <c r="A80" s="25">
        <v>5</v>
      </c>
      <c r="B80" s="25" t="s">
        <v>49</v>
      </c>
    </row>
    <row r="81" spans="1:2" ht="13.5">
      <c r="A81" s="25">
        <v>6</v>
      </c>
      <c r="B81" s="25" t="s">
        <v>50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L134"/>
  <sheetViews>
    <sheetView zoomScalePageLayoutView="0" workbookViewId="0" topLeftCell="B4">
      <selection activeCell="B15" sqref="B15"/>
    </sheetView>
  </sheetViews>
  <sheetFormatPr defaultColWidth="9.140625" defaultRowHeight="12.75"/>
  <cols>
    <col min="1" max="1" width="9.7109375" style="1" customWidth="1"/>
    <col min="2" max="2" width="58.421875" style="1" customWidth="1"/>
    <col min="3" max="3" width="13.8515625" style="0" customWidth="1"/>
    <col min="7" max="7" width="11.140625" style="0" bestFit="1" customWidth="1"/>
    <col min="8" max="8" width="12.00390625" style="0" bestFit="1" customWidth="1"/>
    <col min="9" max="9" width="14.8515625" style="0" customWidth="1"/>
    <col min="13" max="13" width="12.00390625" style="0" bestFit="1" customWidth="1"/>
  </cols>
  <sheetData>
    <row r="1" spans="1:3" ht="13.5">
      <c r="A1" s="1" t="s">
        <v>31</v>
      </c>
      <c r="B1" s="3" t="s">
        <v>29</v>
      </c>
      <c r="C1" t="s">
        <v>57</v>
      </c>
    </row>
    <row r="2" spans="1:3" ht="13.5">
      <c r="A2" s="1">
        <f>IF(KÄYTTÖTAULU!F6=0,0,IF(KÄYTTÖTAULU!$F$6&lt;KÄYTTÖTAULU!$G$19,1,0))</f>
        <v>0</v>
      </c>
      <c r="B2" s="1" t="s">
        <v>28</v>
      </c>
      <c r="C2" t="str">
        <f>IF(A2=1,B2," ")</f>
        <v> </v>
      </c>
    </row>
    <row r="3" spans="1:3" ht="13.5">
      <c r="A3" s="1">
        <f>IF(A4=1,0,IF(KÄYTTÖTAULU!$B$13&gt;VLOOKUP(virheet!A10,laskenta!$A$6:$D$27,2+'muut muuttujat'!A3,FALSE),1,0))</f>
        <v>0</v>
      </c>
      <c r="B3" s="1" t="s">
        <v>75</v>
      </c>
      <c r="C3" t="str">
        <f>IF(A3=1,B3," ")</f>
        <v> </v>
      </c>
    </row>
    <row r="4" spans="1:3" ht="13.5">
      <c r="A4" s="1">
        <f>VLOOKUP(A10,$A$12:$E$35,5,FALSE)</f>
        <v>0</v>
      </c>
      <c r="B4" s="1" t="s">
        <v>76</v>
      </c>
      <c r="C4" t="str">
        <f>IF(A4=1,B4," ")</f>
        <v> </v>
      </c>
    </row>
    <row r="5" spans="1:3" ht="13.5">
      <c r="A5" s="1">
        <f>IF(KÄYTTÖTAULU!B13=0,0,IF(A4=1,0,IF(COUNTA(KÄYTTÖTAULU!B13)+'muut muuttujat'!G3=2,1,0)))</f>
        <v>0</v>
      </c>
      <c r="B5" s="1" t="s">
        <v>33</v>
      </c>
      <c r="C5" t="str">
        <f>IF(A5=1,B5," ")</f>
        <v> </v>
      </c>
    </row>
    <row r="6" spans="1:2" ht="13.5">
      <c r="A6" s="1">
        <f>SUM(A2:A5)</f>
        <v>0</v>
      </c>
      <c r="B6" s="1" t="s">
        <v>34</v>
      </c>
    </row>
    <row r="7" spans="1:3" ht="15">
      <c r="A7" s="83">
        <f>IF(KÄYTTÖTAULU!F6&gt;0,0,1)+IF(KÄYTTÖTAULU!I8&gt;0,0,1)+IF(COUNTA(KÄYTTÖTAULU!I14),0,1)+IF(COUNTA(KÄYTTÖTAULU!I16)&gt;0,0,1)+IF(COUNTA(KÄYTTÖTAULU!K13)&gt;0,0,1)+A6</f>
        <v>5</v>
      </c>
      <c r="B7" s="82" t="s">
        <v>58</v>
      </c>
      <c r="C7" t="str">
        <f>IF(A7=0,B7," ")</f>
        <v> </v>
      </c>
    </row>
    <row r="8" ht="51" customHeight="1"/>
    <row r="9" ht="14.25" thickBot="1">
      <c r="A9" s="1" t="s">
        <v>5</v>
      </c>
    </row>
    <row r="10" spans="1:10" ht="14.25" thickBot="1">
      <c r="A10" s="23">
        <f>laskenta!A4</f>
        <v>1</v>
      </c>
      <c r="B10" s="8" t="s">
        <v>1</v>
      </c>
      <c r="F10">
        <f>VLOOKUP(A10,$A$12:$F$35,6,FALSE)</f>
        <v>0</v>
      </c>
      <c r="G10">
        <f>VLOOKUP(A10,$A$12:$G$35,7,FALSE)</f>
        <v>0</v>
      </c>
      <c r="H10">
        <f>VLOOKUP($A$10,$A$12:$H$35,8,FALSE)</f>
        <v>0</v>
      </c>
      <c r="I10">
        <f>VLOOKUP($A$10,$A$12:$I$35,9,FALSE)</f>
        <v>0</v>
      </c>
      <c r="J10">
        <f>VLOOKUP($A$10,$A$12:$J$40,10,FALSE)</f>
        <v>0</v>
      </c>
    </row>
    <row r="11" spans="2:10" ht="13.5">
      <c r="B11" s="3" t="s">
        <v>4</v>
      </c>
      <c r="C11" t="s">
        <v>30</v>
      </c>
      <c r="D11" t="s">
        <v>27</v>
      </c>
      <c r="E11" t="s">
        <v>31</v>
      </c>
      <c r="F11" t="s">
        <v>72</v>
      </c>
      <c r="G11" t="s">
        <v>73</v>
      </c>
      <c r="H11" t="s">
        <v>74</v>
      </c>
      <c r="I11" t="s">
        <v>165</v>
      </c>
      <c r="J11" t="s">
        <v>168</v>
      </c>
    </row>
    <row r="12" spans="1:12" ht="13.5">
      <c r="A12" s="1">
        <v>1</v>
      </c>
      <c r="B12" s="10" t="s">
        <v>64</v>
      </c>
      <c r="C12">
        <f>IF('muut muuttujat'!$G$3=2,1,0)</f>
        <v>0</v>
      </c>
      <c r="E12">
        <f>IF(C12+D12&gt;1,1,0)</f>
        <v>0</v>
      </c>
      <c r="F12" s="10"/>
      <c r="K12" s="1"/>
      <c r="L12" s="10"/>
    </row>
    <row r="13" spans="1:12" ht="13.5">
      <c r="A13" s="1">
        <v>2</v>
      </c>
      <c r="B13" s="10" t="s">
        <v>129</v>
      </c>
      <c r="C13">
        <f>IF('muut muuttujat'!$G$3=2,1,0)</f>
        <v>0</v>
      </c>
      <c r="E13">
        <f>IF(C13+D13&gt;1,1,0)</f>
        <v>0</v>
      </c>
      <c r="F13" s="10"/>
      <c r="K13" s="1"/>
      <c r="L13" s="10"/>
    </row>
    <row r="14" spans="1:12" ht="13.5">
      <c r="A14" s="1">
        <v>3</v>
      </c>
      <c r="B14" s="10" t="s">
        <v>130</v>
      </c>
      <c r="C14">
        <f>IF('muut muuttujat'!$G$3=2,1,0)</f>
        <v>0</v>
      </c>
      <c r="E14">
        <f>IF(C14+D14&gt;1,1,0)</f>
        <v>0</v>
      </c>
      <c r="F14" s="10"/>
      <c r="K14" s="1"/>
      <c r="L14" s="10"/>
    </row>
    <row r="15" spans="1:12" ht="13.5">
      <c r="A15" s="1">
        <v>4</v>
      </c>
      <c r="B15" s="10" t="s">
        <v>341</v>
      </c>
      <c r="C15">
        <f>IF('muut muuttujat'!$G$3=2,1,0)</f>
        <v>0</v>
      </c>
      <c r="E15">
        <f>IF(C15+D15&gt;1,1,0)</f>
        <v>0</v>
      </c>
      <c r="F15" s="10"/>
      <c r="K15" s="1"/>
      <c r="L15" s="10"/>
    </row>
    <row r="16" spans="1:12" ht="13.5">
      <c r="A16" s="1">
        <v>5</v>
      </c>
      <c r="B16" s="10" t="s">
        <v>68</v>
      </c>
      <c r="C16">
        <f>IF('muut muuttujat'!$G$3=2,1,0)</f>
        <v>0</v>
      </c>
      <c r="E16">
        <f aca="true" t="shared" si="0" ref="E16:E25">IF(C16+D16&gt;1,1,0)</f>
        <v>0</v>
      </c>
      <c r="K16" s="1"/>
      <c r="L16" s="10"/>
    </row>
    <row r="17" spans="1:12" ht="13.5">
      <c r="A17" s="1">
        <v>6</v>
      </c>
      <c r="B17" s="10" t="s">
        <v>69</v>
      </c>
      <c r="C17">
        <f>IF('muut muuttujat'!$G$3=2,1,0)</f>
        <v>0</v>
      </c>
      <c r="E17">
        <f t="shared" si="0"/>
        <v>0</v>
      </c>
      <c r="K17" s="1"/>
      <c r="L17" s="10"/>
    </row>
    <row r="18" spans="1:12" ht="13.5">
      <c r="A18" s="1">
        <v>7</v>
      </c>
      <c r="B18" s="10" t="s">
        <v>17</v>
      </c>
      <c r="C18">
        <f>IF('muut muuttujat'!$G$3=2,1,0)</f>
        <v>0</v>
      </c>
      <c r="E18">
        <f t="shared" si="0"/>
        <v>0</v>
      </c>
      <c r="F18">
        <v>1</v>
      </c>
      <c r="K18" s="1"/>
      <c r="L18" s="10"/>
    </row>
    <row r="19" spans="1:12" ht="13.5">
      <c r="A19" s="1">
        <v>8</v>
      </c>
      <c r="B19" s="10" t="s">
        <v>19</v>
      </c>
      <c r="C19">
        <f>IF('muut muuttujat'!$G$3=2,1,0)</f>
        <v>0</v>
      </c>
      <c r="E19">
        <f t="shared" si="0"/>
        <v>0</v>
      </c>
      <c r="F19">
        <v>1</v>
      </c>
      <c r="K19" s="1"/>
      <c r="L19" s="10"/>
    </row>
    <row r="20" spans="1:12" ht="13.5">
      <c r="A20" s="1">
        <v>9</v>
      </c>
      <c r="B20" s="10" t="s">
        <v>18</v>
      </c>
      <c r="C20">
        <f>IF('muut muuttujat'!$G$3=2,1,0)</f>
        <v>0</v>
      </c>
      <c r="E20">
        <f t="shared" si="0"/>
        <v>0</v>
      </c>
      <c r="F20">
        <v>1</v>
      </c>
      <c r="K20" s="1"/>
      <c r="L20" s="10"/>
    </row>
    <row r="21" spans="1:12" s="300" customFormat="1" ht="13.5">
      <c r="A21" s="1">
        <v>10</v>
      </c>
      <c r="B21" s="10" t="s">
        <v>259</v>
      </c>
      <c r="C21" s="300">
        <f>IF('muut muuttujat'!$G$3=2,1,0)</f>
        <v>0</v>
      </c>
      <c r="E21" s="300">
        <f t="shared" si="0"/>
        <v>0</v>
      </c>
      <c r="F21" s="300">
        <v>1</v>
      </c>
      <c r="K21" s="1"/>
      <c r="L21" s="10"/>
    </row>
    <row r="22" spans="1:12" s="300" customFormat="1" ht="13.5">
      <c r="A22" s="1">
        <v>11</v>
      </c>
      <c r="B22" s="25" t="s">
        <v>260</v>
      </c>
      <c r="C22" s="300">
        <v>0</v>
      </c>
      <c r="E22" s="300">
        <v>0</v>
      </c>
      <c r="F22" s="300">
        <v>1</v>
      </c>
      <c r="K22" s="1"/>
      <c r="L22" s="10"/>
    </row>
    <row r="23" spans="1:12" s="300" customFormat="1" ht="13.5">
      <c r="A23" s="1">
        <v>12</v>
      </c>
      <c r="B23" s="10" t="s">
        <v>70</v>
      </c>
      <c r="C23" s="300">
        <f>IF('muut muuttujat'!$G$3=2,1,0)</f>
        <v>0</v>
      </c>
      <c r="E23" s="300">
        <f t="shared" si="0"/>
        <v>0</v>
      </c>
      <c r="F23" s="300">
        <v>1</v>
      </c>
      <c r="H23" s="300">
        <v>1</v>
      </c>
      <c r="K23" s="1"/>
      <c r="L23" s="10"/>
    </row>
    <row r="24" spans="1:12" s="300" customFormat="1" ht="13.5">
      <c r="A24" s="1">
        <v>13</v>
      </c>
      <c r="B24" s="10" t="s">
        <v>21</v>
      </c>
      <c r="C24" s="300">
        <f>IF('muut muuttujat'!$G$3=2,1,0)</f>
        <v>0</v>
      </c>
      <c r="E24" s="300">
        <f t="shared" si="0"/>
        <v>0</v>
      </c>
      <c r="F24" s="300">
        <v>1</v>
      </c>
      <c r="H24" s="300">
        <v>1</v>
      </c>
      <c r="K24" s="1"/>
      <c r="L24" s="10"/>
    </row>
    <row r="25" spans="1:12" s="300" customFormat="1" ht="13.5">
      <c r="A25" s="1">
        <v>14</v>
      </c>
      <c r="B25" s="10" t="s">
        <v>20</v>
      </c>
      <c r="C25" s="300">
        <f>IF('muut muuttujat'!$G$3=2,1,0)</f>
        <v>0</v>
      </c>
      <c r="E25" s="300">
        <f t="shared" si="0"/>
        <v>0</v>
      </c>
      <c r="F25" s="300">
        <v>1</v>
      </c>
      <c r="H25" s="300">
        <v>1</v>
      </c>
      <c r="K25" s="1"/>
      <c r="L25" s="10"/>
    </row>
    <row r="26" spans="1:12" s="300" customFormat="1" ht="13.5">
      <c r="A26" s="1">
        <v>15</v>
      </c>
      <c r="B26" s="10" t="s">
        <v>160</v>
      </c>
      <c r="I26" s="300">
        <v>1</v>
      </c>
      <c r="K26" s="1"/>
      <c r="L26" s="10"/>
    </row>
    <row r="27" spans="1:12" s="300" customFormat="1" ht="13.5">
      <c r="A27" s="1">
        <v>16</v>
      </c>
      <c r="B27" s="10" t="s">
        <v>161</v>
      </c>
      <c r="I27" s="300">
        <v>1</v>
      </c>
      <c r="K27" s="1"/>
      <c r="L27" s="10"/>
    </row>
    <row r="28" spans="1:12" s="300" customFormat="1" ht="13.5">
      <c r="A28" s="1">
        <v>17</v>
      </c>
      <c r="B28" s="10" t="s">
        <v>162</v>
      </c>
      <c r="I28" s="300">
        <v>1</v>
      </c>
      <c r="K28" s="1"/>
      <c r="L28" s="10"/>
    </row>
    <row r="29" spans="1:12" s="300" customFormat="1" ht="13.5">
      <c r="A29" s="1">
        <v>18</v>
      </c>
      <c r="B29" s="10" t="s">
        <v>215</v>
      </c>
      <c r="C29" s="300">
        <f>IF('muut muuttujat'!$G$3=2,1,0)</f>
        <v>0</v>
      </c>
      <c r="E29" s="300">
        <f>IF(C29+D29&gt;1,1,0)</f>
        <v>0</v>
      </c>
      <c r="K29" s="1"/>
      <c r="L29" s="10"/>
    </row>
    <row r="30" spans="1:12" s="300" customFormat="1" ht="13.5">
      <c r="A30" s="1">
        <v>19</v>
      </c>
      <c r="B30" s="10" t="s">
        <v>216</v>
      </c>
      <c r="C30" s="300">
        <f>IF('muut muuttujat'!$G$3=2,1,0)</f>
        <v>0</v>
      </c>
      <c r="E30" s="300">
        <f>IF(C30+D30&gt;1,1,0)</f>
        <v>0</v>
      </c>
      <c r="K30" s="1"/>
      <c r="L30" s="10"/>
    </row>
    <row r="31" spans="1:12" s="300" customFormat="1" ht="13.5">
      <c r="A31" s="1">
        <v>20</v>
      </c>
      <c r="B31" s="10" t="s">
        <v>217</v>
      </c>
      <c r="C31" s="300">
        <f>IF('muut muuttujat'!$G$3=2,1,0)</f>
        <v>0</v>
      </c>
      <c r="E31" s="300">
        <f>IF(C31+D31&gt;1,1,0)</f>
        <v>0</v>
      </c>
      <c r="K31" s="1"/>
      <c r="L31" s="10"/>
    </row>
    <row r="32" spans="1:12" s="300" customFormat="1" ht="13.5">
      <c r="A32" s="1">
        <v>21</v>
      </c>
      <c r="B32" s="10" t="s">
        <v>218</v>
      </c>
      <c r="C32" s="300">
        <f>IF('muut muuttujat'!$G$3=2,1,0)</f>
        <v>0</v>
      </c>
      <c r="E32" s="300">
        <f>IF(C32+D32&gt;1,1,0)</f>
        <v>0</v>
      </c>
      <c r="K32" s="1"/>
      <c r="L32" s="10"/>
    </row>
    <row r="33" spans="1:12" s="300" customFormat="1" ht="13.5">
      <c r="A33" s="1">
        <v>22</v>
      </c>
      <c r="B33" s="10" t="s">
        <v>248</v>
      </c>
      <c r="I33" s="300">
        <v>2</v>
      </c>
      <c r="K33" s="1"/>
      <c r="L33" s="10"/>
    </row>
    <row r="34" spans="1:12" s="300" customFormat="1" ht="13.5">
      <c r="A34" s="1">
        <v>23</v>
      </c>
      <c r="B34" s="10" t="s">
        <v>249</v>
      </c>
      <c r="I34" s="300">
        <v>2</v>
      </c>
      <c r="K34" s="1"/>
      <c r="L34" s="10"/>
    </row>
    <row r="35" spans="1:12" s="300" customFormat="1" ht="13.5">
      <c r="A35" s="1">
        <v>24</v>
      </c>
      <c r="B35" s="10" t="s">
        <v>250</v>
      </c>
      <c r="I35" s="300">
        <v>2</v>
      </c>
      <c r="K35" s="1"/>
      <c r="L35" s="10"/>
    </row>
    <row r="36" spans="11:12" ht="13.5">
      <c r="K36" s="1"/>
      <c r="L36" s="10"/>
    </row>
    <row r="37" spans="11:12" ht="13.5">
      <c r="K37" s="1"/>
      <c r="L37" s="10"/>
    </row>
    <row r="38" spans="11:12" ht="13.5">
      <c r="K38" s="1"/>
      <c r="L38" s="10"/>
    </row>
    <row r="39" spans="11:12" ht="13.5">
      <c r="K39" s="1"/>
      <c r="L39" s="10"/>
    </row>
    <row r="40" spans="11:12" ht="13.5">
      <c r="K40" s="1"/>
      <c r="L40" s="10"/>
    </row>
    <row r="56" ht="13.5">
      <c r="B56" s="15"/>
    </row>
    <row r="57" ht="13.5">
      <c r="B57" s="3"/>
    </row>
    <row r="59" ht="13.5">
      <c r="B59" s="16"/>
    </row>
    <row r="61" ht="13.5">
      <c r="B61" s="15"/>
    </row>
    <row r="68" ht="13.5">
      <c r="B68" s="12"/>
    </row>
    <row r="69" ht="13.5">
      <c r="B69" s="18"/>
    </row>
    <row r="71" ht="13.5">
      <c r="B71" s="16"/>
    </row>
    <row r="87" ht="13.5">
      <c r="B87" s="3"/>
    </row>
    <row r="91" ht="13.5">
      <c r="B91" s="3"/>
    </row>
    <row r="97" ht="13.5">
      <c r="B97" s="3"/>
    </row>
    <row r="103" ht="13.5">
      <c r="B103" s="3"/>
    </row>
    <row r="110" ht="13.5">
      <c r="B110" s="3"/>
    </row>
    <row r="114" ht="13.5">
      <c r="B114" s="3"/>
    </row>
    <row r="119" ht="13.5">
      <c r="B119" s="13"/>
    </row>
    <row r="120" ht="13.5">
      <c r="B120" s="13"/>
    </row>
    <row r="122" ht="13.5">
      <c r="B122" s="13"/>
    </row>
    <row r="123" ht="13.5">
      <c r="B123" s="13"/>
    </row>
    <row r="124" ht="13.5">
      <c r="B124" s="3"/>
    </row>
    <row r="130" ht="13.5">
      <c r="B130" s="3"/>
    </row>
    <row r="131" ht="13.5">
      <c r="B131" s="13"/>
    </row>
    <row r="134" ht="13.5">
      <c r="B134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"/>
  <dimension ref="A1:AH125"/>
  <sheetViews>
    <sheetView zoomScalePageLayoutView="0" workbookViewId="0" topLeftCell="A1">
      <pane xSplit="2" ySplit="5" topLeftCell="C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B16" sqref="B16"/>
    </sheetView>
  </sheetViews>
  <sheetFormatPr defaultColWidth="9.140625" defaultRowHeight="12.75"/>
  <cols>
    <col min="1" max="1" width="5.00390625" style="1" customWidth="1"/>
    <col min="2" max="2" width="77.8515625" style="1" customWidth="1"/>
    <col min="3" max="3" width="8.140625" style="1" customWidth="1"/>
    <col min="4" max="4" width="8.00390625" style="3" customWidth="1"/>
    <col min="5" max="5" width="8.140625" style="1" customWidth="1"/>
    <col min="6" max="6" width="8.28125" style="1" customWidth="1"/>
    <col min="7" max="7" width="8.28125" style="0" customWidth="1"/>
    <col min="8" max="8" width="8.140625" style="2" customWidth="1"/>
    <col min="9" max="10" width="8.28125" style="2" customWidth="1"/>
    <col min="11" max="15" width="8.28125" style="1" customWidth="1"/>
    <col min="16" max="16" width="12.00390625" style="1" customWidth="1"/>
    <col min="17" max="18" width="14.57421875" style="1" customWidth="1"/>
    <col min="19" max="19" width="7.57421875" style="1" customWidth="1"/>
    <col min="20" max="20" width="7.28125" style="1" customWidth="1"/>
    <col min="21" max="24" width="5.421875" style="1" customWidth="1"/>
    <col min="25" max="25" width="39.00390625" style="371" bestFit="1" customWidth="1"/>
    <col min="26" max="30" width="11.8515625" style="371" bestFit="1" customWidth="1"/>
    <col min="31" max="31" width="9.140625" style="1" customWidth="1"/>
    <col min="32" max="32" width="9.7109375" style="1" bestFit="1" customWidth="1"/>
    <col min="33" max="16384" width="9.140625" style="1" customWidth="1"/>
  </cols>
  <sheetData>
    <row r="1" spans="2:11" ht="16.5">
      <c r="B1" s="4" t="s">
        <v>342</v>
      </c>
      <c r="C1" s="120"/>
      <c r="G1" s="1"/>
      <c r="I1" s="5"/>
      <c r="J1" s="5"/>
      <c r="K1" s="5"/>
    </row>
    <row r="2" spans="5:18" ht="13.5">
      <c r="E2" s="11"/>
      <c r="F2" s="11"/>
      <c r="G2" s="11"/>
      <c r="H2" s="11"/>
      <c r="I2" s="11"/>
      <c r="J2" s="11"/>
      <c r="O2" s="11"/>
      <c r="P2" s="11"/>
      <c r="Q2" s="11"/>
      <c r="R2" s="11"/>
    </row>
    <row r="3" spans="1:11" ht="14.25" thickBot="1">
      <c r="A3" s="1" t="s">
        <v>5</v>
      </c>
      <c r="C3" s="7" t="s">
        <v>22</v>
      </c>
      <c r="D3" s="7" t="s">
        <v>22</v>
      </c>
      <c r="E3" s="9" t="s">
        <v>23</v>
      </c>
      <c r="F3" s="9" t="s">
        <v>23</v>
      </c>
      <c r="G3" s="1"/>
      <c r="I3" s="5"/>
      <c r="J3" s="5"/>
      <c r="K3" s="5"/>
    </row>
    <row r="4" spans="1:30" ht="14.25" thickBot="1">
      <c r="A4" s="23">
        <v>1</v>
      </c>
      <c r="B4" s="8" t="s">
        <v>1</v>
      </c>
      <c r="C4" s="9" t="s">
        <v>10</v>
      </c>
      <c r="D4" s="9" t="s">
        <v>10</v>
      </c>
      <c r="E4" s="9" t="s">
        <v>10</v>
      </c>
      <c r="F4" s="9" t="s">
        <v>10</v>
      </c>
      <c r="G4" s="3" t="s">
        <v>9</v>
      </c>
      <c r="H4" s="3" t="s">
        <v>9</v>
      </c>
      <c r="I4" s="9" t="s">
        <v>12</v>
      </c>
      <c r="J4" s="9" t="s">
        <v>12</v>
      </c>
      <c r="K4" s="9" t="s">
        <v>13</v>
      </c>
      <c r="L4" s="9" t="s">
        <v>13</v>
      </c>
      <c r="M4" s="3" t="s">
        <v>14</v>
      </c>
      <c r="N4" s="3" t="s">
        <v>14</v>
      </c>
      <c r="O4" s="3" t="s">
        <v>15</v>
      </c>
      <c r="P4" s="3" t="s">
        <v>15</v>
      </c>
      <c r="Q4" s="3" t="s">
        <v>163</v>
      </c>
      <c r="R4" s="3" t="s">
        <v>163</v>
      </c>
      <c r="S4" s="60" t="s">
        <v>38</v>
      </c>
      <c r="T4" s="60"/>
      <c r="U4" s="58"/>
      <c r="V4" s="58"/>
      <c r="W4" s="58"/>
      <c r="X4" s="59"/>
      <c r="Y4" s="372" t="s">
        <v>51</v>
      </c>
      <c r="Z4" s="372"/>
      <c r="AA4" s="373"/>
      <c r="AB4" s="373"/>
      <c r="AC4" s="373"/>
      <c r="AD4" s="374"/>
    </row>
    <row r="5" spans="2:30" ht="13.5">
      <c r="B5" s="3" t="s">
        <v>4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3" t="s">
        <v>2</v>
      </c>
      <c r="N5" s="3" t="s">
        <v>3</v>
      </c>
      <c r="O5" s="3" t="s">
        <v>2</v>
      </c>
      <c r="P5" s="3" t="s">
        <v>3</v>
      </c>
      <c r="Q5" s="3" t="s">
        <v>164</v>
      </c>
      <c r="R5" s="3" t="s">
        <v>261</v>
      </c>
      <c r="S5" s="93" t="s">
        <v>44</v>
      </c>
      <c r="T5" s="94" t="s">
        <v>39</v>
      </c>
      <c r="U5" s="95" t="s">
        <v>40</v>
      </c>
      <c r="V5" s="95" t="s">
        <v>41</v>
      </c>
      <c r="W5" s="95" t="s">
        <v>42</v>
      </c>
      <c r="X5" s="96" t="s">
        <v>43</v>
      </c>
      <c r="Y5" s="375" t="s">
        <v>44</v>
      </c>
      <c r="Z5" s="376" t="s">
        <v>39</v>
      </c>
      <c r="AA5" s="376" t="s">
        <v>40</v>
      </c>
      <c r="AB5" s="376" t="s">
        <v>41</v>
      </c>
      <c r="AC5" s="376" t="s">
        <v>42</v>
      </c>
      <c r="AD5" s="377" t="s">
        <v>43</v>
      </c>
    </row>
    <row r="6" spans="1:30" ht="13.5">
      <c r="A6" s="1">
        <v>1</v>
      </c>
      <c r="B6" s="10" t="s">
        <v>204</v>
      </c>
      <c r="C6" s="216">
        <f>VLOOKUP(MID(B6,1,8)-0,'palkat 1.8.2020'!$B$9:$G$26,3,FALSE)</f>
        <v>4015.74</v>
      </c>
      <c r="D6" s="216">
        <f>VLOOKUP(MID(B6,1,8)-0,'palkat 1.8.2020'!$B$9:$G$26,5,FALSE)</f>
        <v>3958.19</v>
      </c>
      <c r="E6" s="11">
        <f>IF('muut muuttujat'!$G$3=1,C6,KÄYTTÖTAULU!$B$13)</f>
        <v>4015.74</v>
      </c>
      <c r="F6" s="11">
        <f>IF('muut muuttujat'!$G$3=1,D6,KÄYTTÖTAULU!$B$13)</f>
        <v>3958.19</v>
      </c>
      <c r="G6" s="11">
        <f>KÄYTTÖTAULU!$F$6</f>
        <v>0</v>
      </c>
      <c r="H6" s="11">
        <f>KÄYTTÖTAULU!$F$6</f>
        <v>0</v>
      </c>
      <c r="I6" s="11"/>
      <c r="J6" s="11"/>
      <c r="O6" s="11"/>
      <c r="P6" s="11"/>
      <c r="Q6" s="11"/>
      <c r="R6" s="11"/>
      <c r="S6" s="24">
        <v>0</v>
      </c>
      <c r="T6" s="25">
        <v>0</v>
      </c>
      <c r="U6" s="25">
        <v>0</v>
      </c>
      <c r="V6" s="25">
        <v>5</v>
      </c>
      <c r="W6" s="25">
        <v>4</v>
      </c>
      <c r="X6" s="50">
        <v>4</v>
      </c>
      <c r="Y6" s="378">
        <v>1</v>
      </c>
      <c r="Z6" s="378">
        <f>1+T6/100</f>
        <v>1</v>
      </c>
      <c r="AA6" s="378">
        <f aca="true" t="shared" si="0" ref="AA6:AD8">(1+U6/100)*Z6</f>
        <v>1</v>
      </c>
      <c r="AB6" s="378">
        <f t="shared" si="0"/>
        <v>1.05</v>
      </c>
      <c r="AC6" s="378">
        <f t="shared" si="0"/>
        <v>1.092</v>
      </c>
      <c r="AD6" s="379">
        <f t="shared" si="0"/>
        <v>1.13568</v>
      </c>
    </row>
    <row r="7" spans="1:30" ht="13.5">
      <c r="A7" s="1">
        <v>2</v>
      </c>
      <c r="B7" s="10" t="s">
        <v>205</v>
      </c>
      <c r="C7" s="216">
        <f>VLOOKUP(MID(B7,1,8)-0,'palkat 1.8.2020'!$B$9:$G$26,3,FALSE)</f>
        <v>3813.44</v>
      </c>
      <c r="D7" s="216">
        <f>VLOOKUP(MID(B7,1,8)-0,'palkat 1.8.2020'!$B$9:$G$26,5,FALSE)</f>
        <v>3758.69</v>
      </c>
      <c r="E7" s="11">
        <f>IF('muut muuttujat'!$G$3=1,C7,KÄYTTÖTAULU!$B$13)</f>
        <v>3813.44</v>
      </c>
      <c r="F7" s="11">
        <f>IF('muut muuttujat'!$G$3=1,D7,KÄYTTÖTAULU!$B$13)</f>
        <v>3758.69</v>
      </c>
      <c r="G7" s="11">
        <f>KÄYTTÖTAULU!$F$6</f>
        <v>0</v>
      </c>
      <c r="H7" s="11">
        <f>KÄYTTÖTAULU!$F$6</f>
        <v>0</v>
      </c>
      <c r="I7" s="11"/>
      <c r="J7" s="11"/>
      <c r="O7" s="11"/>
      <c r="P7" s="11"/>
      <c r="Q7" s="11"/>
      <c r="R7" s="11"/>
      <c r="S7" s="24">
        <v>0</v>
      </c>
      <c r="T7" s="25">
        <v>0</v>
      </c>
      <c r="U7" s="25">
        <v>0</v>
      </c>
      <c r="V7" s="25">
        <v>5</v>
      </c>
      <c r="W7" s="25">
        <v>4</v>
      </c>
      <c r="X7" s="50">
        <v>4</v>
      </c>
      <c r="Y7" s="378">
        <v>1</v>
      </c>
      <c r="Z7" s="378">
        <f>1+T7/100</f>
        <v>1</v>
      </c>
      <c r="AA7" s="378">
        <f t="shared" si="0"/>
        <v>1</v>
      </c>
      <c r="AB7" s="378">
        <f t="shared" si="0"/>
        <v>1.05</v>
      </c>
      <c r="AC7" s="378">
        <f t="shared" si="0"/>
        <v>1.092</v>
      </c>
      <c r="AD7" s="379">
        <f t="shared" si="0"/>
        <v>1.13568</v>
      </c>
    </row>
    <row r="8" spans="1:30" ht="13.5">
      <c r="A8" s="1">
        <v>3</v>
      </c>
      <c r="B8" s="10" t="s">
        <v>206</v>
      </c>
      <c r="C8" s="216">
        <f>VLOOKUP(MID(B8,1,8)-0,'palkat 1.8.2020'!$B$9:$G$26,3,FALSE)</f>
        <v>3681.51</v>
      </c>
      <c r="D8" s="216">
        <f>VLOOKUP(MID(B8,1,8)-0,'palkat 1.8.2020'!$B$9:$G$26,5,FALSE)</f>
        <v>3628.3</v>
      </c>
      <c r="E8" s="11">
        <f>IF('muut muuttujat'!$G$3=1,C8,KÄYTTÖTAULU!$B$13)</f>
        <v>3681.51</v>
      </c>
      <c r="F8" s="11">
        <f>IF('muut muuttujat'!$G$3=1,D8,KÄYTTÖTAULU!$B$13)</f>
        <v>3628.3</v>
      </c>
      <c r="G8" s="11">
        <f>KÄYTTÖTAULU!$F$6</f>
        <v>0</v>
      </c>
      <c r="H8" s="11">
        <f>KÄYTTÖTAULU!$F$6</f>
        <v>0</v>
      </c>
      <c r="I8" s="11"/>
      <c r="J8" s="11"/>
      <c r="O8" s="11"/>
      <c r="P8" s="11"/>
      <c r="Q8" s="11"/>
      <c r="R8" s="11"/>
      <c r="S8" s="24">
        <v>0</v>
      </c>
      <c r="T8" s="25">
        <v>0</v>
      </c>
      <c r="U8" s="25">
        <v>0</v>
      </c>
      <c r="V8" s="25">
        <v>5</v>
      </c>
      <c r="W8" s="25">
        <v>4</v>
      </c>
      <c r="X8" s="50">
        <v>4</v>
      </c>
      <c r="Y8" s="378">
        <v>1</v>
      </c>
      <c r="Z8" s="378">
        <f>1+T8/100</f>
        <v>1</v>
      </c>
      <c r="AA8" s="378">
        <f t="shared" si="0"/>
        <v>1</v>
      </c>
      <c r="AB8" s="378">
        <f t="shared" si="0"/>
        <v>1.05</v>
      </c>
      <c r="AC8" s="378">
        <f t="shared" si="0"/>
        <v>1.092</v>
      </c>
      <c r="AD8" s="379">
        <f t="shared" si="0"/>
        <v>1.13568</v>
      </c>
    </row>
    <row r="9" spans="1:30" ht="13.5">
      <c r="A9" s="1">
        <v>4</v>
      </c>
      <c r="B9" s="10" t="s">
        <v>351</v>
      </c>
      <c r="C9" s="216">
        <f>VLOOKUP(MID(B9,1,8)-0,'palkat 1.8.2020'!$B$9:$G$26,3,FALSE)</f>
        <v>2919.47</v>
      </c>
      <c r="D9" s="216">
        <f>VLOOKUP(MID(B9,1,8)-0,'palkat 1.8.2020'!$B$9:$G$26,5,FALSE)</f>
        <v>2878.06</v>
      </c>
      <c r="E9" s="11">
        <f>IF('muut muuttujat'!$G$3=1,C9,KÄYTTÖTAULU!$B$13)</f>
        <v>2919.47</v>
      </c>
      <c r="F9" s="11">
        <f>IF('muut muuttujat'!$G$3=1,D9,KÄYTTÖTAULU!$B$13)</f>
        <v>2878.06</v>
      </c>
      <c r="G9" s="11">
        <f>KÄYTTÖTAULU!$F$6</f>
        <v>0</v>
      </c>
      <c r="H9" s="11">
        <f>KÄYTTÖTAULU!$F$6</f>
        <v>0</v>
      </c>
      <c r="I9" s="11"/>
      <c r="J9" s="11"/>
      <c r="O9" s="11"/>
      <c r="P9" s="11"/>
      <c r="Q9" s="11"/>
      <c r="R9" s="11"/>
      <c r="S9" s="24">
        <v>0</v>
      </c>
      <c r="T9" s="25">
        <v>6</v>
      </c>
      <c r="U9" s="25">
        <v>4</v>
      </c>
      <c r="V9" s="25">
        <v>6</v>
      </c>
      <c r="W9" s="25">
        <v>6</v>
      </c>
      <c r="X9" s="50">
        <v>6</v>
      </c>
      <c r="Y9" s="378">
        <v>1</v>
      </c>
      <c r="Z9" s="378">
        <v>1.06</v>
      </c>
      <c r="AA9" s="378">
        <v>1.1024</v>
      </c>
      <c r="AB9" s="378">
        <v>1.168544</v>
      </c>
      <c r="AC9" s="378">
        <v>1.23865664</v>
      </c>
      <c r="AD9" s="379">
        <v>1.3129760384000002</v>
      </c>
    </row>
    <row r="10" spans="1:30" ht="13.5">
      <c r="A10" s="1">
        <v>5</v>
      </c>
      <c r="B10" s="10" t="s">
        <v>207</v>
      </c>
      <c r="C10" s="216">
        <f>VLOOKUP(MID(B10,1,8)-0,'palkat 1.8.2020'!$B$9:$G$26,3,FALSE)</f>
        <v>3843.13</v>
      </c>
      <c r="D10" s="216">
        <f>VLOOKUP(MID(B10,1,8)-0,'palkat 1.8.2020'!$B$9:$G$26,5,FALSE)</f>
        <v>3843.13</v>
      </c>
      <c r="E10" s="11">
        <f>IF('muut muuttujat'!$G$3=1,C10,KÄYTTÖTAULU!$B$13)</f>
        <v>3843.13</v>
      </c>
      <c r="F10" s="11">
        <f>IF('muut muuttujat'!$G$3=1,D10,KÄYTTÖTAULU!$B$13)</f>
        <v>3843.13</v>
      </c>
      <c r="G10" s="11">
        <f>KÄYTTÖTAULU!$F$6</f>
        <v>0</v>
      </c>
      <c r="H10" s="11">
        <f>KÄYTTÖTAULU!$F$6</f>
        <v>0</v>
      </c>
      <c r="I10" s="11"/>
      <c r="J10" s="11"/>
      <c r="O10" s="11"/>
      <c r="P10" s="11"/>
      <c r="Q10" s="11"/>
      <c r="R10" s="11"/>
      <c r="S10" s="24">
        <v>0</v>
      </c>
      <c r="T10" s="25">
        <v>0</v>
      </c>
      <c r="U10" s="25">
        <v>0</v>
      </c>
      <c r="V10" s="25">
        <v>6</v>
      </c>
      <c r="W10" s="25">
        <v>2</v>
      </c>
      <c r="X10" s="50">
        <v>6</v>
      </c>
      <c r="Y10" s="378">
        <v>1</v>
      </c>
      <c r="Z10" s="378">
        <f aca="true" t="shared" si="1" ref="Z10:Z26">1+T10/100</f>
        <v>1</v>
      </c>
      <c r="AA10" s="378">
        <f aca="true" t="shared" si="2" ref="AA10:AA26">(1+U10/100)*Z10</f>
        <v>1</v>
      </c>
      <c r="AB10" s="378">
        <f aca="true" t="shared" si="3" ref="AB10:AB26">(1+V10/100)*AA10</f>
        <v>1.06</v>
      </c>
      <c r="AC10" s="378">
        <f aca="true" t="shared" si="4" ref="AC10:AC26">(1+W10/100)*AB10</f>
        <v>1.0812000000000002</v>
      </c>
      <c r="AD10" s="379">
        <f aca="true" t="shared" si="5" ref="AD10:AD26">(1+X10/100)*AC10</f>
        <v>1.1460720000000002</v>
      </c>
    </row>
    <row r="11" spans="1:30" ht="13.5">
      <c r="A11" s="1">
        <v>6</v>
      </c>
      <c r="B11" s="10" t="s">
        <v>208</v>
      </c>
      <c r="C11" s="216">
        <f>VLOOKUP(MID(B11,1,8)-0,'palkat 1.8.2020'!$B$9:$G$26,3,FALSE)</f>
        <v>3586.34</v>
      </c>
      <c r="D11" s="216">
        <f>VLOOKUP(MID(B11,1,8)-0,'palkat 1.8.2020'!$B$9:$G$26,5,FALSE)</f>
        <v>3586.34</v>
      </c>
      <c r="E11" s="11">
        <f>IF('muut muuttujat'!$G$3=1,C11,KÄYTTÖTAULU!$B$13)</f>
        <v>3586.34</v>
      </c>
      <c r="F11" s="11">
        <f>IF('muut muuttujat'!$G$3=1,D11,KÄYTTÖTAULU!$B$13)</f>
        <v>3586.34</v>
      </c>
      <c r="G11" s="11">
        <f>KÄYTTÖTAULU!$F$6</f>
        <v>0</v>
      </c>
      <c r="H11" s="11">
        <f>KÄYTTÖTAULU!$F$6</f>
        <v>0</v>
      </c>
      <c r="I11" s="11"/>
      <c r="J11" s="11"/>
      <c r="O11" s="11"/>
      <c r="P11" s="11"/>
      <c r="Q11" s="11"/>
      <c r="R11" s="11"/>
      <c r="S11" s="24">
        <v>0</v>
      </c>
      <c r="T11" s="25">
        <v>0</v>
      </c>
      <c r="U11" s="25">
        <v>0</v>
      </c>
      <c r="V11" s="25">
        <v>6</v>
      </c>
      <c r="W11" s="25">
        <v>2</v>
      </c>
      <c r="X11" s="50">
        <v>6</v>
      </c>
      <c r="Y11" s="378">
        <v>1</v>
      </c>
      <c r="Z11" s="378">
        <f t="shared" si="1"/>
        <v>1</v>
      </c>
      <c r="AA11" s="378">
        <f t="shared" si="2"/>
        <v>1</v>
      </c>
      <c r="AB11" s="378">
        <f t="shared" si="3"/>
        <v>1.06</v>
      </c>
      <c r="AC11" s="378">
        <f t="shared" si="4"/>
        <v>1.0812000000000002</v>
      </c>
      <c r="AD11" s="379">
        <f t="shared" si="5"/>
        <v>1.1460720000000002</v>
      </c>
    </row>
    <row r="12" spans="1:30" ht="13.5">
      <c r="A12" s="1">
        <v>7</v>
      </c>
      <c r="B12" s="10" t="s">
        <v>346</v>
      </c>
      <c r="C12" s="216">
        <f>VLOOKUP(MID(B12,1,8)-0,'palkat 1.8.2020'!$B$9:$G$26,3,FALSE)</f>
        <v>2665.23</v>
      </c>
      <c r="D12" s="216">
        <f>VLOOKUP(MID(B12,1,8)-0,'palkat 1.8.2020'!$B$9:$G$26,5,FALSE)</f>
        <v>2625.62</v>
      </c>
      <c r="E12" s="11">
        <f>IF('muut muuttujat'!$G$3=1,C12,KÄYTTÖTAULU!$B$13)</f>
        <v>2665.23</v>
      </c>
      <c r="F12" s="11">
        <f>IF('muut muuttujat'!$G$3=1,D12,KÄYTTÖTAULU!$B$13)</f>
        <v>2625.62</v>
      </c>
      <c r="G12" s="11">
        <f>KÄYTTÖTAULU!$F$6</f>
        <v>0</v>
      </c>
      <c r="H12" s="11">
        <f>KÄYTTÖTAULU!$F$6</f>
        <v>0</v>
      </c>
      <c r="I12" s="11">
        <f aca="true" t="shared" si="6" ref="I12:I26">G12*0.83</f>
        <v>0</v>
      </c>
      <c r="J12" s="11">
        <f>H12*0.84</f>
        <v>0</v>
      </c>
      <c r="K12" s="1" t="e">
        <f>ROUND(I12/KÄYTTÖTAULU!$I$8,2)</f>
        <v>#DIV/0!</v>
      </c>
      <c r="L12" s="1" t="e">
        <f>ROUND(J12/KÄYTTÖTAULU!$I$8,2)</f>
        <v>#DIV/0!</v>
      </c>
      <c r="M12" s="1" t="e">
        <f>ROUND(K12*(12/35),2)</f>
        <v>#DIV/0!</v>
      </c>
      <c r="N12" s="1" t="e">
        <f>ROUND(L12*(12/35),2)</f>
        <v>#DIV/0!</v>
      </c>
      <c r="O12" s="11"/>
      <c r="P12" s="11"/>
      <c r="Q12" s="11"/>
      <c r="R12" s="11"/>
      <c r="S12" s="24">
        <v>0</v>
      </c>
      <c r="T12" s="25">
        <v>4</v>
      </c>
      <c r="U12" s="25">
        <v>3</v>
      </c>
      <c r="V12" s="25">
        <v>9</v>
      </c>
      <c r="W12" s="25">
        <v>6</v>
      </c>
      <c r="X12" s="50">
        <v>6</v>
      </c>
      <c r="Y12" s="378">
        <v>1</v>
      </c>
      <c r="Z12" s="378">
        <f t="shared" si="1"/>
        <v>1.04</v>
      </c>
      <c r="AA12" s="378">
        <f t="shared" si="2"/>
        <v>1.0712000000000002</v>
      </c>
      <c r="AB12" s="378">
        <f t="shared" si="3"/>
        <v>1.1676080000000002</v>
      </c>
      <c r="AC12" s="378">
        <f t="shared" si="4"/>
        <v>1.2376644800000003</v>
      </c>
      <c r="AD12" s="379">
        <f t="shared" si="5"/>
        <v>1.3119243488000003</v>
      </c>
    </row>
    <row r="13" spans="1:30" ht="13.5">
      <c r="A13" s="1">
        <v>8</v>
      </c>
      <c r="B13" s="10" t="s">
        <v>347</v>
      </c>
      <c r="C13" s="216">
        <f>VLOOKUP(MID(B13,1,8)-0,'palkat 1.8.2020'!$B$9:$G$26,3,FALSE)</f>
        <v>2495.21</v>
      </c>
      <c r="D13" s="216">
        <f>VLOOKUP(MID(B13,1,8)-0,'palkat 1.8.2020'!$B$9:$G$26,5,FALSE)</f>
        <v>2458.14</v>
      </c>
      <c r="E13" s="11">
        <f>IF('muut muuttujat'!$G$3=1,C13,KÄYTTÖTAULU!$B$13)</f>
        <v>2495.21</v>
      </c>
      <c r="F13" s="11">
        <f>IF('muut muuttujat'!$G$3=1,D13,KÄYTTÖTAULU!$B$13)</f>
        <v>2458.14</v>
      </c>
      <c r="G13" s="11">
        <f>KÄYTTÖTAULU!$F$6</f>
        <v>0</v>
      </c>
      <c r="H13" s="11">
        <f>KÄYTTÖTAULU!$F$6</f>
        <v>0</v>
      </c>
      <c r="I13" s="11">
        <f t="shared" si="6"/>
        <v>0</v>
      </c>
      <c r="J13" s="11">
        <f aca="true" t="shared" si="7" ref="J13:J19">H13*0.84</f>
        <v>0</v>
      </c>
      <c r="K13" s="1" t="e">
        <f>ROUND(I13/KÄYTTÖTAULU!$I$8,2)</f>
        <v>#DIV/0!</v>
      </c>
      <c r="L13" s="1" t="e">
        <f>ROUND(J13/KÄYTTÖTAULU!$I$8,2)</f>
        <v>#DIV/0!</v>
      </c>
      <c r="M13" s="1" t="e">
        <f aca="true" t="shared" si="8" ref="M13:M19">ROUND(K13*(12/35),2)</f>
        <v>#DIV/0!</v>
      </c>
      <c r="N13" s="1" t="e">
        <f aca="true" t="shared" si="9" ref="N13:N19">ROUND(L13*(12/35),2)</f>
        <v>#DIV/0!</v>
      </c>
      <c r="O13" s="11"/>
      <c r="P13" s="11"/>
      <c r="Q13" s="11"/>
      <c r="R13" s="11"/>
      <c r="S13" s="24">
        <v>0</v>
      </c>
      <c r="T13" s="25">
        <v>4</v>
      </c>
      <c r="U13" s="25">
        <v>3</v>
      </c>
      <c r="V13" s="25">
        <v>9</v>
      </c>
      <c r="W13" s="25">
        <v>6</v>
      </c>
      <c r="X13" s="50">
        <v>6</v>
      </c>
      <c r="Y13" s="378">
        <v>1</v>
      </c>
      <c r="Z13" s="378">
        <f t="shared" si="1"/>
        <v>1.04</v>
      </c>
      <c r="AA13" s="378">
        <f t="shared" si="2"/>
        <v>1.0712000000000002</v>
      </c>
      <c r="AB13" s="378">
        <f t="shared" si="3"/>
        <v>1.1676080000000002</v>
      </c>
      <c r="AC13" s="378">
        <f t="shared" si="4"/>
        <v>1.2376644800000003</v>
      </c>
      <c r="AD13" s="379">
        <f t="shared" si="5"/>
        <v>1.3119243488000003</v>
      </c>
    </row>
    <row r="14" spans="1:30" ht="13.5">
      <c r="A14" s="1">
        <v>9</v>
      </c>
      <c r="B14" s="10" t="s">
        <v>348</v>
      </c>
      <c r="C14" s="216">
        <f>VLOOKUP(MID(B14,1,8)-0,'palkat 1.8.2020'!$B$9:$G$26,3,FALSE)</f>
        <v>2276.51</v>
      </c>
      <c r="D14" s="216">
        <f>VLOOKUP(MID(B14,1,8)-0,'palkat 1.8.2020'!$B$9:$G$26,5,FALSE)</f>
        <v>2242.67</v>
      </c>
      <c r="E14" s="11">
        <f>IF('muut muuttujat'!$G$3=1,C14,KÄYTTÖTAULU!$B$13)</f>
        <v>2276.51</v>
      </c>
      <c r="F14" s="11">
        <f>IF('muut muuttujat'!$G$3=1,D14,KÄYTTÖTAULU!$B$13)</f>
        <v>2242.67</v>
      </c>
      <c r="G14" s="11">
        <f>KÄYTTÖTAULU!$F$6</f>
        <v>0</v>
      </c>
      <c r="H14" s="11">
        <f>KÄYTTÖTAULU!$F$6</f>
        <v>0</v>
      </c>
      <c r="I14" s="11">
        <f t="shared" si="6"/>
        <v>0</v>
      </c>
      <c r="J14" s="11">
        <f t="shared" si="7"/>
        <v>0</v>
      </c>
      <c r="K14" s="1" t="e">
        <f>ROUND(I14/KÄYTTÖTAULU!$I$8,2)</f>
        <v>#DIV/0!</v>
      </c>
      <c r="L14" s="1" t="e">
        <f>ROUND(J14/KÄYTTÖTAULU!$I$8,2)</f>
        <v>#DIV/0!</v>
      </c>
      <c r="M14" s="1" t="e">
        <f t="shared" si="8"/>
        <v>#DIV/0!</v>
      </c>
      <c r="N14" s="1" t="e">
        <f t="shared" si="9"/>
        <v>#DIV/0!</v>
      </c>
      <c r="O14" s="11"/>
      <c r="P14" s="11"/>
      <c r="Q14" s="11"/>
      <c r="R14" s="11"/>
      <c r="S14" s="24">
        <v>0</v>
      </c>
      <c r="T14" s="25">
        <v>4</v>
      </c>
      <c r="U14" s="25">
        <v>3</v>
      </c>
      <c r="V14" s="25">
        <v>9</v>
      </c>
      <c r="W14" s="25">
        <v>6</v>
      </c>
      <c r="X14" s="50">
        <v>6</v>
      </c>
      <c r="Y14" s="378">
        <v>1</v>
      </c>
      <c r="Z14" s="378">
        <f t="shared" si="1"/>
        <v>1.04</v>
      </c>
      <c r="AA14" s="378">
        <f t="shared" si="2"/>
        <v>1.0712000000000002</v>
      </c>
      <c r="AB14" s="378">
        <f t="shared" si="3"/>
        <v>1.1676080000000002</v>
      </c>
      <c r="AC14" s="378">
        <f t="shared" si="4"/>
        <v>1.2376644800000003</v>
      </c>
      <c r="AD14" s="379">
        <f t="shared" si="5"/>
        <v>1.3119243488000003</v>
      </c>
    </row>
    <row r="15" spans="1:30" ht="13.5">
      <c r="A15" s="1">
        <v>10</v>
      </c>
      <c r="B15" s="10" t="s">
        <v>349</v>
      </c>
      <c r="C15" s="216">
        <f>VLOOKUP(MID(B15,1,8)-0,'palkat 1.8.2020'!$B$9:$G$26,3,FALSE)</f>
        <v>2664.82</v>
      </c>
      <c r="D15" s="216">
        <f>VLOOKUP(MID(B15,1,8)-0,'palkat 1.8.2020'!$B$9:$G$26,5,FALSE)</f>
        <v>2625.18</v>
      </c>
      <c r="E15" s="11">
        <f>IF('muut muuttujat'!$G$3=1,C15,KÄYTTÖTAULU!$B$13)</f>
        <v>2664.82</v>
      </c>
      <c r="F15" s="11">
        <f>IF('muut muuttujat'!$G$3=1,D15,KÄYTTÖTAULU!$B$13)</f>
        <v>2625.18</v>
      </c>
      <c r="G15" s="11">
        <f>KÄYTTÖTAULU!$F$6</f>
        <v>0</v>
      </c>
      <c r="H15" s="11">
        <f>KÄYTTÖTAULU!$F$6</f>
        <v>0</v>
      </c>
      <c r="I15" s="11">
        <f t="shared" si="6"/>
        <v>0</v>
      </c>
      <c r="J15" s="11">
        <f t="shared" si="7"/>
        <v>0</v>
      </c>
      <c r="K15" s="1" t="e">
        <f>ROUND(I15/KÄYTTÖTAULU!$I$8,2)</f>
        <v>#DIV/0!</v>
      </c>
      <c r="L15" s="1" t="e">
        <f>ROUND(J15/KÄYTTÖTAULU!$I$8,2)</f>
        <v>#DIV/0!</v>
      </c>
      <c r="M15" s="1" t="e">
        <f t="shared" si="8"/>
        <v>#DIV/0!</v>
      </c>
      <c r="N15" s="1" t="e">
        <f t="shared" si="9"/>
        <v>#DIV/0!</v>
      </c>
      <c r="O15" s="11"/>
      <c r="P15" s="11"/>
      <c r="Q15" s="11"/>
      <c r="R15" s="11"/>
      <c r="S15" s="24">
        <v>0</v>
      </c>
      <c r="T15" s="25">
        <v>4</v>
      </c>
      <c r="U15" s="25">
        <v>3</v>
      </c>
      <c r="V15" s="25">
        <v>9</v>
      </c>
      <c r="W15" s="25">
        <v>6</v>
      </c>
      <c r="X15" s="50">
        <v>6</v>
      </c>
      <c r="Y15" s="378">
        <v>1</v>
      </c>
      <c r="Z15" s="378">
        <f t="shared" si="1"/>
        <v>1.04</v>
      </c>
      <c r="AA15" s="378">
        <f t="shared" si="2"/>
        <v>1.0712000000000002</v>
      </c>
      <c r="AB15" s="378">
        <f t="shared" si="3"/>
        <v>1.1676080000000002</v>
      </c>
      <c r="AC15" s="378">
        <f t="shared" si="4"/>
        <v>1.2376644800000003</v>
      </c>
      <c r="AD15" s="379">
        <f t="shared" si="5"/>
        <v>1.3119243488000003</v>
      </c>
    </row>
    <row r="16" spans="1:30" ht="13.5">
      <c r="A16" s="1">
        <v>11</v>
      </c>
      <c r="B16" s="25" t="s">
        <v>352</v>
      </c>
      <c r="C16" s="216">
        <f>VLOOKUP(MID(B16,1,8)-0,'palkat 1.8.2020'!$B$9:$G$26,3,FALSE)</f>
        <v>2528.42</v>
      </c>
      <c r="D16" s="216">
        <f>VLOOKUP(MID(B16,1,8)-0,'palkat 1.8.2020'!$B$9:$G$26,5,FALSE)</f>
        <v>2490.8</v>
      </c>
      <c r="E16" s="11">
        <f>IF('muut muuttujat'!$G$3=1,C16,KÄYTTÖTAULU!$B$13)</f>
        <v>2528.42</v>
      </c>
      <c r="F16" s="11">
        <f>IF('muut muuttujat'!$G$3=1,D16,KÄYTTÖTAULU!$B$13)</f>
        <v>2490.8</v>
      </c>
      <c r="G16" s="11">
        <f>KÄYTTÖTAULU!$F$6</f>
        <v>0</v>
      </c>
      <c r="H16" s="11">
        <f>KÄYTTÖTAULU!$F$6</f>
        <v>0</v>
      </c>
      <c r="I16" s="11">
        <f t="shared" si="6"/>
        <v>0</v>
      </c>
      <c r="J16" s="11">
        <f t="shared" si="7"/>
        <v>0</v>
      </c>
      <c r="K16" s="1" t="e">
        <f>ROUND(I16/KÄYTTÖTAULU!$I$8,2)</f>
        <v>#DIV/0!</v>
      </c>
      <c r="L16" s="1" t="e">
        <f>ROUND(J16/KÄYTTÖTAULU!$I$8,2)</f>
        <v>#DIV/0!</v>
      </c>
      <c r="M16" s="1" t="e">
        <f t="shared" si="8"/>
        <v>#DIV/0!</v>
      </c>
      <c r="N16" s="1" t="e">
        <f t="shared" si="9"/>
        <v>#DIV/0!</v>
      </c>
      <c r="O16" s="11"/>
      <c r="P16" s="11"/>
      <c r="Q16" s="11"/>
      <c r="R16" s="11"/>
      <c r="S16" s="24">
        <v>0</v>
      </c>
      <c r="T16" s="25">
        <v>4</v>
      </c>
      <c r="U16" s="25">
        <v>3</v>
      </c>
      <c r="V16" s="25">
        <v>9</v>
      </c>
      <c r="W16" s="25">
        <v>6</v>
      </c>
      <c r="X16" s="50">
        <v>6</v>
      </c>
      <c r="Y16" s="378">
        <v>1</v>
      </c>
      <c r="Z16" s="378">
        <f>1+T16/100</f>
        <v>1.04</v>
      </c>
      <c r="AA16" s="378">
        <f>(1+U16/100)*Z16</f>
        <v>1.0712000000000002</v>
      </c>
      <c r="AB16" s="378">
        <f>(1+V16/100)*AA16</f>
        <v>1.1676080000000002</v>
      </c>
      <c r="AC16" s="378">
        <f>(1+W16/100)*AB16</f>
        <v>1.2376644800000003</v>
      </c>
      <c r="AD16" s="379">
        <f>(1+X16/100)*AC16</f>
        <v>1.3119243488000003</v>
      </c>
    </row>
    <row r="17" spans="1:30" ht="13.5">
      <c r="A17" s="1">
        <v>12</v>
      </c>
      <c r="B17" s="10" t="s">
        <v>209</v>
      </c>
      <c r="C17" s="216">
        <f>VLOOKUP(MID(B17,1,8)-0,'palkat 1.8.2020'!$B$9:$G$26,3,FALSE)</f>
        <v>2478.16</v>
      </c>
      <c r="D17" s="216">
        <f>VLOOKUP(MID(B17,1,8)-0,'palkat 1.8.2020'!$B$9:$G$26,5,FALSE)</f>
        <v>2441.33</v>
      </c>
      <c r="E17" s="11">
        <f>IF('muut muuttujat'!$G$3=1,C17,KÄYTTÖTAULU!$B$13)</f>
        <v>2478.16</v>
      </c>
      <c r="F17" s="11">
        <f>IF('muut muuttujat'!$G$3=1,D17,KÄYTTÖTAULU!$B$13)</f>
        <v>2441.33</v>
      </c>
      <c r="G17" s="11">
        <f>KÄYTTÖTAULU!$F$6</f>
        <v>0</v>
      </c>
      <c r="H17" s="11">
        <f>KÄYTTÖTAULU!$F$6</f>
        <v>0</v>
      </c>
      <c r="I17" s="11">
        <f t="shared" si="6"/>
        <v>0</v>
      </c>
      <c r="J17" s="11">
        <f t="shared" si="7"/>
        <v>0</v>
      </c>
      <c r="K17" s="1" t="e">
        <f>ROUND(I17/KÄYTTÖTAULU!$I$8,2)</f>
        <v>#DIV/0!</v>
      </c>
      <c r="L17" s="1" t="e">
        <f>ROUND(J17/KÄYTTÖTAULU!$I$8,2)</f>
        <v>#DIV/0!</v>
      </c>
      <c r="M17" s="1" t="e">
        <f t="shared" si="8"/>
        <v>#DIV/0!</v>
      </c>
      <c r="N17" s="1" t="e">
        <f t="shared" si="9"/>
        <v>#DIV/0!</v>
      </c>
      <c r="O17" s="11"/>
      <c r="P17" s="11"/>
      <c r="Q17" s="11"/>
      <c r="R17" s="11"/>
      <c r="S17" s="24">
        <v>0</v>
      </c>
      <c r="T17" s="25">
        <v>4</v>
      </c>
      <c r="U17" s="25">
        <v>3</v>
      </c>
      <c r="V17" s="25">
        <v>9</v>
      </c>
      <c r="W17" s="25">
        <v>6</v>
      </c>
      <c r="X17" s="50">
        <v>6</v>
      </c>
      <c r="Y17" s="378">
        <v>1</v>
      </c>
      <c r="Z17" s="378">
        <f t="shared" si="1"/>
        <v>1.04</v>
      </c>
      <c r="AA17" s="378">
        <f t="shared" si="2"/>
        <v>1.0712000000000002</v>
      </c>
      <c r="AB17" s="378">
        <f t="shared" si="3"/>
        <v>1.1676080000000002</v>
      </c>
      <c r="AC17" s="378">
        <f t="shared" si="4"/>
        <v>1.2376644800000003</v>
      </c>
      <c r="AD17" s="379">
        <f t="shared" si="5"/>
        <v>1.3119243488000003</v>
      </c>
    </row>
    <row r="18" spans="1:30" ht="13.5">
      <c r="A18" s="1">
        <v>13</v>
      </c>
      <c r="B18" s="10" t="s">
        <v>210</v>
      </c>
      <c r="C18" s="216">
        <f>VLOOKUP(MID(B18,1,8)-0,'palkat 1.8.2020'!$B$9:$G$26,3,FALSE)</f>
        <v>2361.83</v>
      </c>
      <c r="D18" s="216">
        <f>VLOOKUP(MID(B18,1,8)-0,'palkat 1.8.2020'!$B$9:$G$26,5,FALSE)</f>
        <v>2326.71</v>
      </c>
      <c r="E18" s="11">
        <f>IF('muut muuttujat'!$G$3=1,C18,KÄYTTÖTAULU!$B$13)</f>
        <v>2361.83</v>
      </c>
      <c r="F18" s="11">
        <f>IF('muut muuttujat'!$G$3=1,D18,KÄYTTÖTAULU!$B$13)</f>
        <v>2326.71</v>
      </c>
      <c r="G18" s="11">
        <f>KÄYTTÖTAULU!$F$6</f>
        <v>0</v>
      </c>
      <c r="H18" s="11">
        <f>KÄYTTÖTAULU!$F$6</f>
        <v>0</v>
      </c>
      <c r="I18" s="11">
        <f t="shared" si="6"/>
        <v>0</v>
      </c>
      <c r="J18" s="11">
        <f t="shared" si="7"/>
        <v>0</v>
      </c>
      <c r="K18" s="1" t="e">
        <f>ROUND(I18/KÄYTTÖTAULU!$I$8,2)</f>
        <v>#DIV/0!</v>
      </c>
      <c r="L18" s="1" t="e">
        <f>ROUND(J18/KÄYTTÖTAULU!$I$8,2)</f>
        <v>#DIV/0!</v>
      </c>
      <c r="M18" s="1" t="e">
        <f t="shared" si="8"/>
        <v>#DIV/0!</v>
      </c>
      <c r="N18" s="1" t="e">
        <f t="shared" si="9"/>
        <v>#DIV/0!</v>
      </c>
      <c r="O18" s="11"/>
      <c r="P18" s="11"/>
      <c r="Q18" s="11"/>
      <c r="R18" s="11"/>
      <c r="S18" s="24">
        <v>0</v>
      </c>
      <c r="T18" s="25">
        <v>4</v>
      </c>
      <c r="U18" s="25">
        <v>3</v>
      </c>
      <c r="V18" s="25">
        <v>9</v>
      </c>
      <c r="W18" s="25">
        <v>6</v>
      </c>
      <c r="X18" s="50">
        <v>6</v>
      </c>
      <c r="Y18" s="378">
        <v>1</v>
      </c>
      <c r="Z18" s="378">
        <f t="shared" si="1"/>
        <v>1.04</v>
      </c>
      <c r="AA18" s="378">
        <f t="shared" si="2"/>
        <v>1.0712000000000002</v>
      </c>
      <c r="AB18" s="378">
        <f t="shared" si="3"/>
        <v>1.1676080000000002</v>
      </c>
      <c r="AC18" s="378">
        <f t="shared" si="4"/>
        <v>1.2376644800000003</v>
      </c>
      <c r="AD18" s="379">
        <f t="shared" si="5"/>
        <v>1.3119243488000003</v>
      </c>
    </row>
    <row r="19" spans="1:30" ht="13.5">
      <c r="A19" s="1">
        <v>14</v>
      </c>
      <c r="B19" s="267" t="s">
        <v>211</v>
      </c>
      <c r="C19" s="216">
        <f>VLOOKUP(MID(B19,1,8)-0,'palkat 1.8.2020'!$B$9:$G$26,3,FALSE)</f>
        <v>2145.44</v>
      </c>
      <c r="D19" s="216">
        <f>VLOOKUP(MID(B19,1,8)-0,'palkat 1.8.2020'!$B$9:$G$26,5,FALSE)</f>
        <v>2113.57</v>
      </c>
      <c r="E19" s="11">
        <f>IF('muut muuttujat'!$G$3=1,C19,KÄYTTÖTAULU!$B$13)</f>
        <v>2145.44</v>
      </c>
      <c r="F19" s="11">
        <f>IF('muut muuttujat'!$G$3=1,D19,KÄYTTÖTAULU!$B$13)</f>
        <v>2113.57</v>
      </c>
      <c r="G19" s="11">
        <f>KÄYTTÖTAULU!$F$6</f>
        <v>0</v>
      </c>
      <c r="H19" s="11">
        <f>KÄYTTÖTAULU!$F$6</f>
        <v>0</v>
      </c>
      <c r="I19" s="11">
        <f t="shared" si="6"/>
        <v>0</v>
      </c>
      <c r="J19" s="11">
        <f t="shared" si="7"/>
        <v>0</v>
      </c>
      <c r="K19" s="1" t="e">
        <f>ROUND(I19/KÄYTTÖTAULU!$I$8,2)</f>
        <v>#DIV/0!</v>
      </c>
      <c r="L19" s="1" t="e">
        <f>ROUND(J19/KÄYTTÖTAULU!$I$8,2)</f>
        <v>#DIV/0!</v>
      </c>
      <c r="M19" s="1" t="e">
        <f t="shared" si="8"/>
        <v>#DIV/0!</v>
      </c>
      <c r="N19" s="1" t="e">
        <f t="shared" si="9"/>
        <v>#DIV/0!</v>
      </c>
      <c r="O19" s="11"/>
      <c r="P19" s="11"/>
      <c r="Q19" s="11"/>
      <c r="R19" s="11"/>
      <c r="S19" s="24">
        <v>0</v>
      </c>
      <c r="T19" s="25">
        <v>4</v>
      </c>
      <c r="U19" s="25">
        <v>3</v>
      </c>
      <c r="V19" s="25">
        <v>9</v>
      </c>
      <c r="W19" s="25">
        <v>6</v>
      </c>
      <c r="X19" s="50">
        <v>6</v>
      </c>
      <c r="Y19" s="378">
        <v>1</v>
      </c>
      <c r="Z19" s="378">
        <f t="shared" si="1"/>
        <v>1.04</v>
      </c>
      <c r="AA19" s="378">
        <f t="shared" si="2"/>
        <v>1.0712000000000002</v>
      </c>
      <c r="AB19" s="378">
        <f t="shared" si="3"/>
        <v>1.1676080000000002</v>
      </c>
      <c r="AC19" s="378">
        <f t="shared" si="4"/>
        <v>1.2376644800000003</v>
      </c>
      <c r="AD19" s="379">
        <f t="shared" si="5"/>
        <v>1.3119243488000003</v>
      </c>
    </row>
    <row r="20" spans="1:30" ht="13.5">
      <c r="A20" s="1">
        <v>15</v>
      </c>
      <c r="B20" s="267" t="s">
        <v>212</v>
      </c>
      <c r="C20" s="216"/>
      <c r="D20" s="216"/>
      <c r="E20" s="11"/>
      <c r="F20" s="11"/>
      <c r="G20" s="11"/>
      <c r="H20" s="11"/>
      <c r="I20" s="11"/>
      <c r="J20" s="11"/>
      <c r="O20" s="11"/>
      <c r="P20" s="11"/>
      <c r="Q20" s="332">
        <f>'palkat 1.8.2020'!D85</f>
        <v>30.16</v>
      </c>
      <c r="R20" s="332"/>
      <c r="S20" s="24"/>
      <c r="T20" s="25"/>
      <c r="U20" s="25"/>
      <c r="V20" s="25"/>
      <c r="W20" s="25"/>
      <c r="X20" s="50"/>
      <c r="Y20" s="378"/>
      <c r="Z20" s="378"/>
      <c r="AA20" s="378"/>
      <c r="AB20" s="378"/>
      <c r="AC20" s="378"/>
      <c r="AD20" s="379"/>
    </row>
    <row r="21" spans="1:30" ht="13.5">
      <c r="A21" s="1">
        <v>16</v>
      </c>
      <c r="B21" s="267" t="s">
        <v>213</v>
      </c>
      <c r="C21" s="216"/>
      <c r="D21" s="216"/>
      <c r="E21" s="11"/>
      <c r="F21" s="11"/>
      <c r="G21" s="11"/>
      <c r="H21" s="11"/>
      <c r="I21" s="11"/>
      <c r="J21" s="11"/>
      <c r="O21" s="11"/>
      <c r="P21" s="11"/>
      <c r="Q21" s="332">
        <f>'palkat 1.8.2020'!D86</f>
        <v>29.17</v>
      </c>
      <c r="R21" s="332"/>
      <c r="S21" s="24"/>
      <c r="T21" s="25"/>
      <c r="U21" s="25"/>
      <c r="V21" s="25"/>
      <c r="W21" s="25"/>
      <c r="X21" s="50"/>
      <c r="Y21" s="378"/>
      <c r="Z21" s="378"/>
      <c r="AA21" s="378"/>
      <c r="AB21" s="378"/>
      <c r="AC21" s="378"/>
      <c r="AD21" s="379"/>
    </row>
    <row r="22" spans="1:30" ht="13.5">
      <c r="A22" s="1">
        <v>17</v>
      </c>
      <c r="B22" s="10" t="s">
        <v>214</v>
      </c>
      <c r="C22" s="216"/>
      <c r="D22" s="216"/>
      <c r="E22" s="11"/>
      <c r="F22" s="11"/>
      <c r="G22" s="11"/>
      <c r="H22" s="11"/>
      <c r="I22" s="11"/>
      <c r="J22" s="11"/>
      <c r="O22" s="11"/>
      <c r="P22" s="11"/>
      <c r="Q22" s="332">
        <f>'palkat 1.8.2020'!D87</f>
        <v>25.92</v>
      </c>
      <c r="R22" s="332"/>
      <c r="S22" s="24"/>
      <c r="T22" s="25"/>
      <c r="U22" s="25"/>
      <c r="V22" s="25"/>
      <c r="W22" s="25"/>
      <c r="X22" s="50"/>
      <c r="Y22" s="378"/>
      <c r="Z22" s="378"/>
      <c r="AA22" s="378"/>
      <c r="AB22" s="378"/>
      <c r="AC22" s="378"/>
      <c r="AD22" s="379"/>
    </row>
    <row r="23" spans="1:30" ht="13.5">
      <c r="A23" s="1">
        <v>18</v>
      </c>
      <c r="B23" s="10" t="s">
        <v>215</v>
      </c>
      <c r="C23" s="216">
        <f>VLOOKUP(MID(B23,1,8)-0,'palkat 1.8.2020'!$B$9:$G$26,3,FALSE)</f>
        <v>3845.43</v>
      </c>
      <c r="D23" s="216">
        <f>VLOOKUP(MID(B23,1,8)-0,'palkat 1.8.2020'!$B$9:$G$26,5,FALSE)</f>
        <v>3845.43</v>
      </c>
      <c r="E23" s="11">
        <f>IF('muut muuttujat'!$G$3=1,C23,KÄYTTÖTAULU!$B$13)</f>
        <v>3845.43</v>
      </c>
      <c r="F23" s="11">
        <f>IF('muut muuttujat'!$G$3=1,D23,KÄYTTÖTAULU!$B$13)</f>
        <v>3845.43</v>
      </c>
      <c r="G23" s="11">
        <f>KÄYTTÖTAULU!$F$6</f>
        <v>0</v>
      </c>
      <c r="H23" s="11">
        <f>KÄYTTÖTAULU!$F$6</f>
        <v>0</v>
      </c>
      <c r="I23" s="11"/>
      <c r="J23" s="11"/>
      <c r="O23" s="11"/>
      <c r="P23" s="11"/>
      <c r="Q23" s="333"/>
      <c r="R23" s="333"/>
      <c r="S23" s="24">
        <v>0</v>
      </c>
      <c r="T23" s="25">
        <v>0</v>
      </c>
      <c r="U23" s="25">
        <v>0</v>
      </c>
      <c r="V23" s="25">
        <v>6</v>
      </c>
      <c r="W23" s="25">
        <v>3</v>
      </c>
      <c r="X23" s="50">
        <v>6</v>
      </c>
      <c r="Y23" s="378">
        <v>1</v>
      </c>
      <c r="Z23" s="378">
        <f t="shared" si="1"/>
        <v>1</v>
      </c>
      <c r="AA23" s="378">
        <f t="shared" si="2"/>
        <v>1</v>
      </c>
      <c r="AB23" s="378">
        <f t="shared" si="3"/>
        <v>1.06</v>
      </c>
      <c r="AC23" s="378">
        <f t="shared" si="4"/>
        <v>1.0918</v>
      </c>
      <c r="AD23" s="379">
        <f t="shared" si="5"/>
        <v>1.1573080000000002</v>
      </c>
    </row>
    <row r="24" spans="1:30" ht="13.5">
      <c r="A24" s="1">
        <v>19</v>
      </c>
      <c r="B24" s="10" t="s">
        <v>216</v>
      </c>
      <c r="C24" s="216">
        <f>VLOOKUP(MID(B24,1,8)-0,'palkat 1.8.2020'!$B$9:$G$26,3,FALSE)</f>
        <v>3559.99</v>
      </c>
      <c r="D24" s="216">
        <f>VLOOKUP(MID(B24,1,8)-0,'palkat 1.8.2020'!$B$9:$G$26,5,FALSE)</f>
        <v>3559.99</v>
      </c>
      <c r="E24" s="11">
        <f>IF('muut muuttujat'!$G$3=1,C24,KÄYTTÖTAULU!$B$13)</f>
        <v>3559.99</v>
      </c>
      <c r="F24" s="11">
        <f>IF('muut muuttujat'!$G$3=1,D24,KÄYTTÖTAULU!$B$13)</f>
        <v>3559.99</v>
      </c>
      <c r="G24" s="11">
        <f>KÄYTTÖTAULU!$F$6</f>
        <v>0</v>
      </c>
      <c r="H24" s="11">
        <f>KÄYTTÖTAULU!$F$6</f>
        <v>0</v>
      </c>
      <c r="I24" s="11"/>
      <c r="J24" s="11"/>
      <c r="O24" s="11"/>
      <c r="P24" s="11"/>
      <c r="Q24" s="333"/>
      <c r="R24" s="333"/>
      <c r="S24" s="24">
        <v>0</v>
      </c>
      <c r="T24" s="25">
        <v>0</v>
      </c>
      <c r="U24" s="25">
        <v>0</v>
      </c>
      <c r="V24" s="25">
        <v>6</v>
      </c>
      <c r="W24" s="25">
        <v>4</v>
      </c>
      <c r="X24" s="50">
        <v>6</v>
      </c>
      <c r="Y24" s="378">
        <v>1</v>
      </c>
      <c r="Z24" s="378">
        <f t="shared" si="1"/>
        <v>1</v>
      </c>
      <c r="AA24" s="378">
        <f t="shared" si="2"/>
        <v>1</v>
      </c>
      <c r="AB24" s="378">
        <f t="shared" si="3"/>
        <v>1.06</v>
      </c>
      <c r="AC24" s="378">
        <f t="shared" si="4"/>
        <v>1.1024</v>
      </c>
      <c r="AD24" s="379">
        <f t="shared" si="5"/>
        <v>1.168544</v>
      </c>
    </row>
    <row r="25" spans="1:30" ht="13.5">
      <c r="A25" s="1">
        <v>20</v>
      </c>
      <c r="B25" s="10" t="s">
        <v>343</v>
      </c>
      <c r="C25" s="216">
        <f>VLOOKUP(MID(B25,1,8)-0,'palkat 1.8.2020'!$B$9:$G$26,3,FALSE)</f>
        <v>2967.86</v>
      </c>
      <c r="D25" s="216">
        <f>VLOOKUP(MID(B25,1,8)-0,'palkat 1.8.2020'!$B$9:$G$26,5,FALSE)</f>
        <v>2923.74</v>
      </c>
      <c r="E25" s="11">
        <f>IF('muut muuttujat'!$G$3=1,C25,KÄYTTÖTAULU!$B$13)</f>
        <v>2967.86</v>
      </c>
      <c r="F25" s="11">
        <f>IF('muut muuttujat'!$G$3=1,D25,KÄYTTÖTAULU!$B$13)</f>
        <v>2923.74</v>
      </c>
      <c r="G25" s="11">
        <f>KÄYTTÖTAULU!$F$6</f>
        <v>0</v>
      </c>
      <c r="H25" s="11">
        <f>KÄYTTÖTAULU!$F$6</f>
        <v>0</v>
      </c>
      <c r="I25" s="11">
        <f t="shared" si="6"/>
        <v>0</v>
      </c>
      <c r="J25" s="11">
        <f>H25*0.84</f>
        <v>0</v>
      </c>
      <c r="K25" s="1" t="e">
        <f>ROUND(I25/KÄYTTÖTAULU!$I$8,2)</f>
        <v>#DIV/0!</v>
      </c>
      <c r="L25" s="1" t="e">
        <f>ROUND(J25/KÄYTTÖTAULU!$I$8,2)</f>
        <v>#DIV/0!</v>
      </c>
      <c r="M25" s="1" t="e">
        <f>ROUND(K25*(12/38),2)</f>
        <v>#DIV/0!</v>
      </c>
      <c r="N25" s="1" t="e">
        <f>ROUND(L25*(12/38),2)</f>
        <v>#DIV/0!</v>
      </c>
      <c r="O25" s="11"/>
      <c r="P25" s="11"/>
      <c r="Q25" s="333"/>
      <c r="R25" s="333"/>
      <c r="S25" s="24">
        <v>0</v>
      </c>
      <c r="T25" s="25">
        <v>6</v>
      </c>
      <c r="U25" s="25">
        <v>0</v>
      </c>
      <c r="V25" s="25">
        <v>2</v>
      </c>
      <c r="W25" s="25">
        <v>6</v>
      </c>
      <c r="X25" s="50">
        <v>6</v>
      </c>
      <c r="Y25" s="378">
        <v>1</v>
      </c>
      <c r="Z25" s="378">
        <f t="shared" si="1"/>
        <v>1.06</v>
      </c>
      <c r="AA25" s="378">
        <f t="shared" si="2"/>
        <v>1.06</v>
      </c>
      <c r="AB25" s="378">
        <f t="shared" si="3"/>
        <v>1.0812000000000002</v>
      </c>
      <c r="AC25" s="378">
        <f t="shared" si="4"/>
        <v>1.1460720000000002</v>
      </c>
      <c r="AD25" s="379">
        <f t="shared" si="5"/>
        <v>1.2148363200000003</v>
      </c>
    </row>
    <row r="26" spans="1:30" ht="13.5">
      <c r="A26" s="1">
        <v>21</v>
      </c>
      <c r="B26" s="10" t="s">
        <v>344</v>
      </c>
      <c r="C26" s="216">
        <f>VLOOKUP(MID(B26,1,8)-0,'palkat 1.8.2020'!$B$9:$G$26,3,FALSE)</f>
        <v>2549.87</v>
      </c>
      <c r="D26" s="216">
        <f>VLOOKUP(MID(B26,1,8)-0,'palkat 1.8.2020'!$B$9:$G$26,5,FALSE)</f>
        <v>2511.99</v>
      </c>
      <c r="E26" s="11">
        <f>IF('muut muuttujat'!$G$3=1,C26,KÄYTTÖTAULU!$B$13)</f>
        <v>2549.87</v>
      </c>
      <c r="F26" s="11">
        <f>IF('muut muuttujat'!$G$3=1,D26,KÄYTTÖTAULU!$B$13)</f>
        <v>2511.99</v>
      </c>
      <c r="G26" s="11">
        <f>KÄYTTÖTAULU!$F$6</f>
        <v>0</v>
      </c>
      <c r="H26" s="11">
        <f>KÄYTTÖTAULU!$F$6</f>
        <v>0</v>
      </c>
      <c r="I26" s="11">
        <f t="shared" si="6"/>
        <v>0</v>
      </c>
      <c r="J26" s="11">
        <f>H26*0.84</f>
        <v>0</v>
      </c>
      <c r="K26" s="1" t="e">
        <f>ROUND(I26/KÄYTTÖTAULU!$I$8,2)</f>
        <v>#DIV/0!</v>
      </c>
      <c r="L26" s="1" t="e">
        <f>ROUND(J26/KÄYTTÖTAULU!$I$8,2)</f>
        <v>#DIV/0!</v>
      </c>
      <c r="M26" s="1" t="e">
        <f>ROUND(K26*(12/38),2)</f>
        <v>#DIV/0!</v>
      </c>
      <c r="N26" s="1" t="e">
        <f>ROUND(L26*(12/38),2)</f>
        <v>#DIV/0!</v>
      </c>
      <c r="O26" s="11"/>
      <c r="P26" s="11"/>
      <c r="Q26" s="333"/>
      <c r="R26" s="333"/>
      <c r="S26" s="24">
        <v>0</v>
      </c>
      <c r="T26" s="25">
        <v>6</v>
      </c>
      <c r="U26" s="25">
        <v>0</v>
      </c>
      <c r="V26" s="25">
        <v>2</v>
      </c>
      <c r="W26" s="25">
        <v>6</v>
      </c>
      <c r="X26" s="50">
        <v>6</v>
      </c>
      <c r="Y26" s="378">
        <v>1</v>
      </c>
      <c r="Z26" s="378">
        <f t="shared" si="1"/>
        <v>1.06</v>
      </c>
      <c r="AA26" s="378">
        <f t="shared" si="2"/>
        <v>1.06</v>
      </c>
      <c r="AB26" s="378">
        <f t="shared" si="3"/>
        <v>1.0812000000000002</v>
      </c>
      <c r="AC26" s="378">
        <f t="shared" si="4"/>
        <v>1.1460720000000002</v>
      </c>
      <c r="AD26" s="379">
        <f t="shared" si="5"/>
        <v>1.2148363200000003</v>
      </c>
    </row>
    <row r="27" spans="1:30" ht="13.5">
      <c r="A27" s="1">
        <v>22</v>
      </c>
      <c r="B27" s="128" t="s">
        <v>248</v>
      </c>
      <c r="C27" s="25"/>
      <c r="D27" s="11"/>
      <c r="E27" s="11"/>
      <c r="F27" s="11"/>
      <c r="G27" s="11"/>
      <c r="H27" s="11"/>
      <c r="I27" s="11"/>
      <c r="J27" s="11"/>
      <c r="O27" s="11"/>
      <c r="P27" s="11"/>
      <c r="Q27" s="334">
        <f>ROUND('palkat 1.8.2020'!D91*(1+KÄYTTÖTAULU!$M$20/100),2)</f>
        <v>29.51</v>
      </c>
      <c r="R27" s="334">
        <f>ROUND('palkat 1.8.2020'!E91*(1+KÄYTTÖTAULU!$M$20/100),2)</f>
        <v>29.05</v>
      </c>
      <c r="S27" s="24"/>
      <c r="T27" s="25"/>
      <c r="U27" s="25"/>
      <c r="V27" s="25"/>
      <c r="W27" s="25"/>
      <c r="X27" s="50"/>
      <c r="Y27" s="378"/>
      <c r="Z27" s="378"/>
      <c r="AA27" s="378"/>
      <c r="AB27" s="378"/>
      <c r="AC27" s="378"/>
      <c r="AD27" s="379"/>
    </row>
    <row r="28" spans="1:34" ht="13.5">
      <c r="A28" s="1">
        <v>23</v>
      </c>
      <c r="B28" s="25" t="s">
        <v>345</v>
      </c>
      <c r="C28" s="25"/>
      <c r="Q28" s="334">
        <f>ROUND('palkat 1.8.2020'!D92*(1+KÄYTTÖTAULU!$M$20/100),2)</f>
        <v>27.81</v>
      </c>
      <c r="R28" s="334">
        <f>ROUND('palkat 1.8.2020'!E92*(1+KÄYTTÖTAULU!$M$20/100),2)</f>
        <v>27.45</v>
      </c>
      <c r="X28" s="50"/>
      <c r="AD28" s="379"/>
      <c r="AF28" s="266"/>
      <c r="AG28" s="11"/>
      <c r="AH28" s="11"/>
    </row>
    <row r="29" spans="1:34" ht="13.5">
      <c r="A29" s="1">
        <v>24</v>
      </c>
      <c r="B29" s="1" t="s">
        <v>250</v>
      </c>
      <c r="Q29" s="334">
        <f>ROUND('palkat 1.8.2020'!D93*(1+KÄYTTÖTAULU!$M$20/100),2)</f>
        <v>27.02</v>
      </c>
      <c r="R29" s="334">
        <f>ROUND('palkat 1.8.2020'!E93*(1+KÄYTTÖTAULU!$M$20/100),2)</f>
        <v>26.61</v>
      </c>
      <c r="X29" s="50"/>
      <c r="AD29" s="379"/>
      <c r="AF29" s="266"/>
      <c r="AG29" s="11"/>
      <c r="AH29" s="11"/>
    </row>
    <row r="30" spans="32:34" ht="13.5">
      <c r="AF30" s="266"/>
      <c r="AG30" s="11"/>
      <c r="AH30" s="11"/>
    </row>
    <row r="31" spans="32:34" ht="13.5">
      <c r="AF31" s="266"/>
      <c r="AG31" s="11"/>
      <c r="AH31" s="11"/>
    </row>
    <row r="32" spans="13:34" ht="13.5">
      <c r="M32" s="11"/>
      <c r="N32" s="11"/>
      <c r="AF32" s="266"/>
      <c r="AG32" s="11"/>
      <c r="AH32" s="11"/>
    </row>
    <row r="33" spans="13:14" ht="13.5">
      <c r="M33" s="285"/>
      <c r="N33" s="285"/>
    </row>
    <row r="34" spans="13:14" ht="13.5">
      <c r="M34" s="285"/>
      <c r="N34" s="285"/>
    </row>
    <row r="35" spans="13:14" ht="13.5">
      <c r="M35" s="285"/>
      <c r="N35" s="285"/>
    </row>
    <row r="39" spans="17:18" ht="13.5">
      <c r="Q39" s="11"/>
      <c r="R39" s="11"/>
    </row>
    <row r="40" spans="17:18" ht="13.5">
      <c r="Q40" s="285"/>
      <c r="R40" s="285"/>
    </row>
    <row r="41" spans="17:18" ht="13.5">
      <c r="Q41" s="285"/>
      <c r="R41" s="285"/>
    </row>
    <row r="42" spans="17:18" ht="13.5">
      <c r="Q42" s="285"/>
      <c r="R42" s="285"/>
    </row>
    <row r="44" ht="13.5">
      <c r="B44" s="15"/>
    </row>
    <row r="45" ht="13.5">
      <c r="B45" s="3"/>
    </row>
    <row r="47" ht="13.5">
      <c r="B47" s="16"/>
    </row>
    <row r="49" ht="13.5">
      <c r="B49" s="15"/>
    </row>
    <row r="55" spans="3:14" ht="13.5">
      <c r="C55" s="126"/>
      <c r="D55" s="25"/>
      <c r="E55" s="25"/>
      <c r="F55" s="128"/>
      <c r="G55" s="25"/>
      <c r="H55" s="140"/>
      <c r="I55" s="140"/>
      <c r="J55" s="1"/>
      <c r="K55" s="125"/>
      <c r="L55" s="125"/>
      <c r="M55" s="125"/>
      <c r="N55" s="125"/>
    </row>
    <row r="56" spans="2:14" ht="13.5">
      <c r="B56" s="12"/>
      <c r="C56" s="25"/>
      <c r="D56" s="126"/>
      <c r="E56" s="124"/>
      <c r="F56" s="25"/>
      <c r="G56" s="25"/>
      <c r="H56" s="25"/>
      <c r="I56" s="25"/>
      <c r="J56" s="1"/>
      <c r="K56" s="125"/>
      <c r="L56" s="125"/>
      <c r="M56" s="125"/>
      <c r="N56" s="125"/>
    </row>
    <row r="57" ht="13.5">
      <c r="B57" s="18"/>
    </row>
    <row r="59" ht="13.5">
      <c r="B59" s="16"/>
    </row>
    <row r="66" spans="3:10" ht="13.5">
      <c r="C66" s="25"/>
      <c r="D66" s="25"/>
      <c r="E66" s="25"/>
      <c r="F66" s="25"/>
      <c r="G66" s="25"/>
      <c r="H66" s="25"/>
      <c r="I66" s="25"/>
      <c r="J66" s="1"/>
    </row>
    <row r="67" ht="13.5">
      <c r="C67" s="14"/>
    </row>
    <row r="68" ht="13.5">
      <c r="C68" s="14"/>
    </row>
    <row r="69" ht="13.5">
      <c r="C69" s="14"/>
    </row>
    <row r="70" ht="13.5">
      <c r="C70" s="14"/>
    </row>
    <row r="71" ht="13.5">
      <c r="C71" s="14"/>
    </row>
    <row r="72" spans="3:7" ht="13.5">
      <c r="C72" s="14"/>
      <c r="G72" s="1"/>
    </row>
    <row r="73" ht="13.5">
      <c r="C73" s="14"/>
    </row>
    <row r="74" spans="3:7" ht="13.5">
      <c r="C74" s="19"/>
      <c r="D74" s="6"/>
      <c r="E74" s="6"/>
      <c r="G74" s="1"/>
    </row>
    <row r="75" spans="2:3" ht="13.5">
      <c r="B75" s="3"/>
      <c r="C75" s="14"/>
    </row>
    <row r="77" ht="13.5">
      <c r="C77" s="21"/>
    </row>
    <row r="79" spans="2:3" ht="13.5">
      <c r="B79" s="3"/>
      <c r="C79" s="14"/>
    </row>
    <row r="81" ht="13.5">
      <c r="C81" s="21"/>
    </row>
    <row r="82" ht="13.5">
      <c r="C82" s="21"/>
    </row>
    <row r="83" ht="13.5">
      <c r="C83" s="21"/>
    </row>
    <row r="85" spans="2:3" ht="13.5">
      <c r="B85" s="3"/>
      <c r="C85" s="14"/>
    </row>
    <row r="87" ht="13.5">
      <c r="C87" s="21"/>
    </row>
    <row r="88" ht="13.5">
      <c r="C88" s="21"/>
    </row>
    <row r="89" ht="13.5">
      <c r="C89" s="21"/>
    </row>
    <row r="91" spans="2:7" ht="13.5">
      <c r="B91" s="3"/>
      <c r="C91" s="14"/>
      <c r="D91" s="6"/>
      <c r="E91" s="6"/>
      <c r="G91" s="1"/>
    </row>
    <row r="92" spans="3:7" ht="13.5">
      <c r="C92" s="14"/>
      <c r="D92" s="6"/>
      <c r="E92" s="6"/>
      <c r="G92" s="1"/>
    </row>
    <row r="93" spans="3:7" ht="13.5">
      <c r="C93" s="21"/>
      <c r="D93" s="1"/>
      <c r="G93" s="1"/>
    </row>
    <row r="94" spans="3:7" ht="13.5">
      <c r="C94" s="21"/>
      <c r="D94" s="6"/>
      <c r="E94" s="6"/>
      <c r="G94" s="1"/>
    </row>
    <row r="95" spans="3:7" ht="13.5">
      <c r="C95" s="21"/>
      <c r="G95" s="1"/>
    </row>
    <row r="96" spans="3:7" ht="13.5">
      <c r="C96" s="21"/>
      <c r="D96" s="6"/>
      <c r="E96" s="6"/>
      <c r="G96" s="1"/>
    </row>
    <row r="97" spans="3:7" ht="13.5">
      <c r="C97" s="21"/>
      <c r="D97" s="6"/>
      <c r="E97" s="6"/>
      <c r="G97" s="1"/>
    </row>
    <row r="98" spans="2:7" ht="13.5">
      <c r="B98" s="3"/>
      <c r="C98" s="14"/>
      <c r="G98" s="1"/>
    </row>
    <row r="99" spans="3:7" ht="13.5">
      <c r="C99" s="13"/>
      <c r="G99" s="1"/>
    </row>
    <row r="100" spans="3:7" ht="13.5">
      <c r="C100" s="2"/>
      <c r="G100" s="1"/>
    </row>
    <row r="101" ht="13.5">
      <c r="G101" s="1"/>
    </row>
    <row r="102" spans="2:7" ht="13.5">
      <c r="B102" s="3"/>
      <c r="C102" s="14"/>
      <c r="D102" s="6"/>
      <c r="E102" s="6"/>
      <c r="F102" s="13"/>
      <c r="G102" s="1"/>
    </row>
    <row r="103" spans="3:7" ht="13.5">
      <c r="C103" s="19"/>
      <c r="D103" s="6"/>
      <c r="E103" s="19"/>
      <c r="F103" s="13"/>
      <c r="G103" s="1"/>
    </row>
    <row r="104" spans="3:7" ht="13.5">
      <c r="C104" s="21"/>
      <c r="D104" s="20"/>
      <c r="E104" s="2"/>
      <c r="F104" s="13"/>
      <c r="G104" s="1"/>
    </row>
    <row r="105" spans="3:7" ht="13.5">
      <c r="C105" s="21"/>
      <c r="D105" s="17"/>
      <c r="E105" s="2"/>
      <c r="G105" s="1"/>
    </row>
    <row r="106" spans="3:7" ht="13.5">
      <c r="C106" s="22"/>
      <c r="D106" s="13"/>
      <c r="E106" s="13"/>
      <c r="G106" s="1"/>
    </row>
    <row r="107" spans="2:7" ht="13.5">
      <c r="B107" s="13"/>
      <c r="C107" s="21"/>
      <c r="D107" s="13"/>
      <c r="E107" s="13"/>
      <c r="G107" s="1"/>
    </row>
    <row r="108" spans="2:7" ht="13.5">
      <c r="B108" s="13"/>
      <c r="C108" s="21"/>
      <c r="D108" s="13"/>
      <c r="E108" s="13"/>
      <c r="G108" s="1"/>
    </row>
    <row r="109" spans="3:7" ht="13.5">
      <c r="C109" s="21"/>
      <c r="D109" s="13"/>
      <c r="E109" s="13"/>
      <c r="G109" s="1"/>
    </row>
    <row r="110" spans="2:7" ht="13.5">
      <c r="B110" s="13"/>
      <c r="C110" s="21"/>
      <c r="D110" s="6"/>
      <c r="E110" s="19"/>
      <c r="G110" s="1"/>
    </row>
    <row r="111" spans="2:7" ht="13.5">
      <c r="B111" s="13"/>
      <c r="C111" s="2"/>
      <c r="D111" s="6"/>
      <c r="E111" s="19"/>
      <c r="G111" s="1"/>
    </row>
    <row r="112" spans="2:7" ht="13.5">
      <c r="B112" s="3"/>
      <c r="C112" s="14"/>
      <c r="G112" s="1"/>
    </row>
    <row r="113" ht="13.5">
      <c r="C113" s="19"/>
    </row>
    <row r="114" spans="3:7" ht="13.5">
      <c r="C114" s="2"/>
      <c r="D114" s="6"/>
      <c r="E114" s="6"/>
      <c r="G114" s="1"/>
    </row>
    <row r="115" spans="3:7" ht="13.5">
      <c r="C115" s="2"/>
      <c r="D115" s="13"/>
      <c r="E115" s="13"/>
      <c r="G115" s="1"/>
    </row>
    <row r="116" spans="3:7" ht="13.5">
      <c r="C116" s="6"/>
      <c r="D116" s="1"/>
      <c r="G116" s="1"/>
    </row>
    <row r="117" ht="13.5">
      <c r="G117" s="1"/>
    </row>
    <row r="118" spans="2:7" ht="13.5">
      <c r="B118" s="3"/>
      <c r="C118" s="14"/>
      <c r="D118" s="6"/>
      <c r="E118" s="6"/>
      <c r="F118" s="13"/>
      <c r="G118" s="1"/>
    </row>
    <row r="119" spans="2:7" ht="13.5">
      <c r="B119" s="13"/>
      <c r="C119" s="13"/>
      <c r="D119" s="6"/>
      <c r="E119" s="6"/>
      <c r="F119" s="13"/>
      <c r="G119" s="1"/>
    </row>
    <row r="120" spans="3:7" ht="13.5">
      <c r="C120" s="2"/>
      <c r="D120" s="13"/>
      <c r="E120" s="13"/>
      <c r="F120" s="13"/>
      <c r="G120" s="1"/>
    </row>
    <row r="121" spans="3:7" ht="13.5">
      <c r="C121" s="6"/>
      <c r="D121" s="13"/>
      <c r="E121" s="13"/>
      <c r="F121" s="13"/>
      <c r="G121" s="1"/>
    </row>
    <row r="122" spans="2:6" ht="13.5">
      <c r="B122" s="13"/>
      <c r="C122" s="6"/>
      <c r="D122" s="13"/>
      <c r="E122" s="13"/>
      <c r="F122" s="13"/>
    </row>
    <row r="123" spans="4:6" ht="13.5">
      <c r="D123" s="13"/>
      <c r="E123" s="13"/>
      <c r="F123" s="13"/>
    </row>
    <row r="124" spans="4:6" ht="13.5">
      <c r="D124" s="13"/>
      <c r="E124" s="13"/>
      <c r="F124" s="13"/>
    </row>
    <row r="125" spans="4:6" ht="13.5">
      <c r="D125" s="13"/>
      <c r="E125" s="13"/>
      <c r="F125" s="13"/>
    </row>
  </sheetData>
  <sheetProtection/>
  <printOptions/>
  <pageMargins left="0.1968503937007874" right="0.1968503937007874" top="0.5511811023622047" bottom="0.35433070866141736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X207"/>
  <sheetViews>
    <sheetView zoomScale="115" zoomScaleNormal="115" zoomScalePageLayoutView="0" workbookViewId="0" topLeftCell="A76">
      <selection activeCell="E92" sqref="E92"/>
    </sheetView>
  </sheetViews>
  <sheetFormatPr defaultColWidth="9.140625" defaultRowHeight="12.75"/>
  <cols>
    <col min="1" max="1" width="13.57421875" style="1" customWidth="1"/>
    <col min="2" max="2" width="7.7109375" style="1" customWidth="1"/>
    <col min="3" max="3" width="42.00390625" style="1" customWidth="1"/>
    <col min="4" max="5" width="8.7109375" style="25" customWidth="1"/>
    <col min="6" max="6" width="9.140625" style="25" customWidth="1"/>
    <col min="7" max="7" width="10.00390625" style="25" customWidth="1"/>
    <col min="8" max="10" width="9.140625" style="1" customWidth="1"/>
    <col min="11" max="11" width="10.140625" style="1" bestFit="1" customWidth="1"/>
    <col min="12" max="16384" width="9.140625" style="1" customWidth="1"/>
  </cols>
  <sheetData>
    <row r="1" spans="1:7" ht="20.25">
      <c r="A1" s="209" t="s">
        <v>339</v>
      </c>
      <c r="B1" s="25"/>
      <c r="C1" s="25"/>
      <c r="E1" s="209"/>
      <c r="G1" s="210"/>
    </row>
    <row r="2" spans="1:7" ht="20.25">
      <c r="A2" s="262"/>
      <c r="B2" s="25"/>
      <c r="C2" s="25"/>
      <c r="E2" s="209"/>
      <c r="G2" s="210"/>
    </row>
    <row r="3" spans="1:5" ht="15">
      <c r="A3" s="263"/>
      <c r="B3" s="25"/>
      <c r="C3" s="25"/>
      <c r="E3" s="126"/>
    </row>
    <row r="4" spans="1:6" ht="18">
      <c r="A4" s="211" t="s">
        <v>131</v>
      </c>
      <c r="B4" s="25"/>
      <c r="C4" s="25"/>
      <c r="F4" s="126"/>
    </row>
    <row r="5" spans="1:3" ht="13.5">
      <c r="A5" s="24"/>
      <c r="B5" s="25"/>
      <c r="C5" s="25"/>
    </row>
    <row r="6" spans="1:3" ht="13.5">
      <c r="A6" s="24"/>
      <c r="B6" s="126" t="s">
        <v>132</v>
      </c>
      <c r="C6" s="25"/>
    </row>
    <row r="7" spans="1:12" ht="13.5">
      <c r="A7" s="212" t="s">
        <v>133</v>
      </c>
      <c r="B7" s="123" t="s">
        <v>134</v>
      </c>
      <c r="C7" s="124"/>
      <c r="D7" s="130" t="s">
        <v>96</v>
      </c>
      <c r="E7" s="213" t="s">
        <v>97</v>
      </c>
      <c r="F7" s="130" t="s">
        <v>96</v>
      </c>
      <c r="G7" s="213" t="s">
        <v>97</v>
      </c>
      <c r="I7" s="130"/>
      <c r="J7" s="213"/>
      <c r="K7" s="130"/>
      <c r="L7" s="213"/>
    </row>
    <row r="8" spans="1:12" ht="13.5">
      <c r="A8" s="93" t="s">
        <v>135</v>
      </c>
      <c r="B8" s="126" t="s">
        <v>4</v>
      </c>
      <c r="C8" s="126" t="s">
        <v>136</v>
      </c>
      <c r="D8" s="132" t="s">
        <v>2</v>
      </c>
      <c r="E8" s="132" t="s">
        <v>2</v>
      </c>
      <c r="F8" s="132" t="s">
        <v>3</v>
      </c>
      <c r="G8" s="132" t="s">
        <v>3</v>
      </c>
      <c r="I8" s="132"/>
      <c r="J8" s="132"/>
      <c r="K8" s="132"/>
      <c r="L8" s="132"/>
    </row>
    <row r="9" spans="1:14" ht="13.5">
      <c r="A9" s="24" t="s">
        <v>243</v>
      </c>
      <c r="B9" s="128">
        <v>40901024</v>
      </c>
      <c r="C9" s="25" t="s">
        <v>137</v>
      </c>
      <c r="D9" s="140">
        <f>VLOOKUP($B9,Taul2!$A$29:$F$224,3,FALSE)</f>
        <v>4015.74</v>
      </c>
      <c r="E9" s="140">
        <f>VLOOKUP($B9,Taul2!$A$29:$F$224,3,FALSE)</f>
        <v>4015.74</v>
      </c>
      <c r="F9" s="140">
        <f>VLOOKUP($B9,Taul2!$A$29:$F$224,5,FALSE)</f>
        <v>3958.19</v>
      </c>
      <c r="G9" s="140"/>
      <c r="N9" s="125"/>
    </row>
    <row r="10" spans="1:14" ht="13.5">
      <c r="A10" s="24" t="s">
        <v>243</v>
      </c>
      <c r="B10" s="128">
        <v>40003001</v>
      </c>
      <c r="C10" s="25" t="s">
        <v>138</v>
      </c>
      <c r="D10" s="140">
        <f>VLOOKUP($B10,Taul2!$A$29:$F$224,3,FALSE)</f>
        <v>3813.44</v>
      </c>
      <c r="E10" s="140"/>
      <c r="F10" s="140">
        <f>VLOOKUP($B10,Taul2!$A$29:$F$224,5,FALSE)</f>
        <v>3758.69</v>
      </c>
      <c r="G10" s="140"/>
      <c r="N10" s="125"/>
    </row>
    <row r="11" spans="1:14" ht="13.5">
      <c r="A11" s="24" t="s">
        <v>243</v>
      </c>
      <c r="B11" s="128">
        <v>40003002</v>
      </c>
      <c r="C11" s="25" t="s">
        <v>139</v>
      </c>
      <c r="D11" s="140">
        <f>VLOOKUP($B11,Taul2!$A$29:$F$224,3,FALSE)</f>
        <v>3681.51</v>
      </c>
      <c r="E11" s="140"/>
      <c r="F11" s="140">
        <f>VLOOKUP($B11,Taul2!$A$29:$F$224,5,FALSE)</f>
        <v>3628.3</v>
      </c>
      <c r="G11" s="140"/>
      <c r="N11" s="125"/>
    </row>
    <row r="12" spans="1:14" ht="13.5">
      <c r="A12" s="24" t="s">
        <v>243</v>
      </c>
      <c r="B12" s="128">
        <v>42004003</v>
      </c>
      <c r="C12" s="25" t="s">
        <v>336</v>
      </c>
      <c r="D12" s="140">
        <v>2919.47</v>
      </c>
      <c r="E12" s="140"/>
      <c r="F12" s="140">
        <v>2878.06</v>
      </c>
      <c r="G12" s="140"/>
      <c r="N12" s="125"/>
    </row>
    <row r="13" spans="1:14" ht="13.5">
      <c r="A13" s="24" t="s">
        <v>244</v>
      </c>
      <c r="B13" s="128">
        <v>40801002</v>
      </c>
      <c r="C13" s="25" t="s">
        <v>142</v>
      </c>
      <c r="D13" s="140">
        <f>VLOOKUP($B13,Taul2!$A$29:$F$224,3,FALSE)</f>
        <v>3843.13</v>
      </c>
      <c r="E13" s="140">
        <f>VLOOKUP($B13,Taul2!$A$29:$F$224,4,FALSE)</f>
        <v>4774.78</v>
      </c>
      <c r="F13" s="140">
        <f>VLOOKUP($B13,Taul2!$A$29:$F$224,5,FALSE)</f>
        <v>3843.13</v>
      </c>
      <c r="G13" s="140">
        <f>VLOOKUP($B13,Taul2!$A$29:$F$224,6,FALSE)</f>
        <v>4774.78</v>
      </c>
      <c r="N13" s="125"/>
    </row>
    <row r="14" spans="1:14" ht="13.5">
      <c r="A14" s="24" t="s">
        <v>244</v>
      </c>
      <c r="B14" s="128">
        <v>40802005</v>
      </c>
      <c r="C14" s="25" t="s">
        <v>143</v>
      </c>
      <c r="D14" s="140">
        <f>VLOOKUP($B14,Taul2!$A$29:$F$224,3,FALSE)</f>
        <v>3586.34</v>
      </c>
      <c r="E14" s="140">
        <f>VLOOKUP($B14,Taul2!$A$29:$F$224,4,FALSE)</f>
        <v>4179.88</v>
      </c>
      <c r="F14" s="140">
        <f>VLOOKUP($B14,Taul2!$A$29:$F$224,5,FALSE)</f>
        <v>3586.34</v>
      </c>
      <c r="G14" s="140">
        <f>VLOOKUP($B14,Taul2!$A$29:$F$224,6,FALSE)</f>
        <v>4179.88</v>
      </c>
      <c r="N14" s="125"/>
    </row>
    <row r="15" spans="1:14" ht="13.5">
      <c r="A15" s="24" t="s">
        <v>244</v>
      </c>
      <c r="B15" s="128">
        <v>40804012</v>
      </c>
      <c r="C15" s="25" t="s">
        <v>144</v>
      </c>
      <c r="D15" s="140">
        <f>VLOOKUP($B15,Taul2!$A$29:$F$224,3,FALSE)</f>
        <v>2665.23</v>
      </c>
      <c r="E15" s="140"/>
      <c r="F15" s="140">
        <f>VLOOKUP($B15,Taul2!$A$29:$F$224,5,FALSE)</f>
        <v>2625.62</v>
      </c>
      <c r="G15" s="140"/>
      <c r="N15" s="125"/>
    </row>
    <row r="16" spans="1:14" ht="13.5">
      <c r="A16" s="24" t="s">
        <v>244</v>
      </c>
      <c r="B16" s="128">
        <v>40804014</v>
      </c>
      <c r="C16" s="25" t="s">
        <v>145</v>
      </c>
      <c r="D16" s="140">
        <f>VLOOKUP($B16,Taul2!$A$29:$F$224,3,FALSE)</f>
        <v>2495.21</v>
      </c>
      <c r="E16" s="140"/>
      <c r="F16" s="140">
        <f>VLOOKUP($B16,Taul2!$A$29:$F$224,5,FALSE)</f>
        <v>2458.14</v>
      </c>
      <c r="G16" s="140"/>
      <c r="N16" s="125"/>
    </row>
    <row r="17" spans="1:14" ht="13.5">
      <c r="A17" s="24" t="s">
        <v>244</v>
      </c>
      <c r="B17" s="128">
        <v>40804013</v>
      </c>
      <c r="C17" s="25" t="s">
        <v>146</v>
      </c>
      <c r="D17" s="140">
        <f>VLOOKUP($B17,Taul2!$A$29:$F$224,3,FALSE)</f>
        <v>2276.51</v>
      </c>
      <c r="E17" s="140"/>
      <c r="F17" s="140">
        <f>VLOOKUP($B17,Taul2!$A$29:$F$224,5,FALSE)</f>
        <v>2242.67</v>
      </c>
      <c r="G17" s="140"/>
      <c r="N17" s="125"/>
    </row>
    <row r="18" spans="1:14" ht="13.5">
      <c r="A18" s="24" t="s">
        <v>244</v>
      </c>
      <c r="B18" s="128">
        <v>40804008</v>
      </c>
      <c r="C18" s="25" t="s">
        <v>258</v>
      </c>
      <c r="D18" s="140">
        <f>VLOOKUP($B18,Taul2!$A$29:$F$224,3,FALSE)</f>
        <v>2664.82</v>
      </c>
      <c r="E18" s="140"/>
      <c r="F18" s="140">
        <f>VLOOKUP($B18,Taul2!$A$29:$F$224,5,FALSE)</f>
        <v>2625.18</v>
      </c>
      <c r="G18" s="140"/>
      <c r="N18" s="125"/>
    </row>
    <row r="19" spans="1:14" ht="13.5">
      <c r="A19" s="24" t="s">
        <v>244</v>
      </c>
      <c r="B19" s="128">
        <v>40804009</v>
      </c>
      <c r="C19" s="25" t="s">
        <v>257</v>
      </c>
      <c r="D19" s="140">
        <f>VLOOKUP($B19,Taul2!$A$29:$F$224,3,FALSE)</f>
        <v>2528.42</v>
      </c>
      <c r="E19" s="140"/>
      <c r="F19" s="140">
        <f>VLOOKUP($B19,Taul2!$A$29:$F$224,5,FALSE)</f>
        <v>2490.8</v>
      </c>
      <c r="G19" s="140"/>
      <c r="N19" s="125"/>
    </row>
    <row r="20" spans="1:14" ht="13.5">
      <c r="A20" s="24" t="s">
        <v>244</v>
      </c>
      <c r="B20" s="128">
        <v>40807026</v>
      </c>
      <c r="C20" s="25" t="s">
        <v>147</v>
      </c>
      <c r="D20" s="140">
        <f>VLOOKUP($B20,Taul2!$A$29:$F$224,3,FALSE)</f>
        <v>2478.16</v>
      </c>
      <c r="E20" s="140"/>
      <c r="F20" s="140">
        <f>VLOOKUP($B20,Taul2!$A$29:$F$224,5,FALSE)</f>
        <v>2441.33</v>
      </c>
      <c r="G20" s="140"/>
      <c r="N20" s="125"/>
    </row>
    <row r="21" spans="1:14" ht="13.5">
      <c r="A21" s="24" t="s">
        <v>244</v>
      </c>
      <c r="B21" s="128">
        <v>40807028</v>
      </c>
      <c r="C21" s="25" t="s">
        <v>148</v>
      </c>
      <c r="D21" s="140">
        <f>VLOOKUP($B21,Taul2!$A$29:$F$224,3,FALSE)</f>
        <v>2361.83</v>
      </c>
      <c r="E21" s="140"/>
      <c r="F21" s="140">
        <f>VLOOKUP($B21,Taul2!$A$29:$F$224,5,FALSE)</f>
        <v>2326.71</v>
      </c>
      <c r="G21" s="140"/>
      <c r="N21" s="125"/>
    </row>
    <row r="22" spans="1:14" ht="13.5">
      <c r="A22" s="24" t="s">
        <v>244</v>
      </c>
      <c r="B22" s="128">
        <v>40807027</v>
      </c>
      <c r="C22" s="25" t="s">
        <v>149</v>
      </c>
      <c r="D22" s="140">
        <f>VLOOKUP($B22,Taul2!$A$29:$F$224,3,FALSE)</f>
        <v>2145.44</v>
      </c>
      <c r="E22" s="140"/>
      <c r="F22" s="140">
        <f>VLOOKUP($B22,Taul2!$A$29:$F$224,5,FALSE)</f>
        <v>2113.57</v>
      </c>
      <c r="G22" s="140"/>
      <c r="N22" s="125"/>
    </row>
    <row r="23" spans="1:14" ht="13.5">
      <c r="A23" s="24" t="s">
        <v>226</v>
      </c>
      <c r="B23" s="128">
        <v>40601001</v>
      </c>
      <c r="C23" s="25" t="s">
        <v>150</v>
      </c>
      <c r="D23" s="140">
        <f>VLOOKUP($B23,Taul2!$A$29:$F$224,3,FALSE)</f>
        <v>3845.43</v>
      </c>
      <c r="E23" s="140">
        <f>VLOOKUP($B23,Taul2!$A$29:$F$224,4,FALSE)</f>
        <v>4338.91</v>
      </c>
      <c r="F23" s="140">
        <f>VLOOKUP($B23,Taul2!$A$29:$F$224,5,FALSE)</f>
        <v>3845.43</v>
      </c>
      <c r="G23" s="140">
        <f>VLOOKUP($B23,Taul2!$A$29:$F$224,6,FALSE)</f>
        <v>4338.91</v>
      </c>
      <c r="N23" s="125"/>
    </row>
    <row r="24" spans="1:14" ht="13.5">
      <c r="A24" s="24" t="s">
        <v>226</v>
      </c>
      <c r="B24" s="128">
        <v>40602002</v>
      </c>
      <c r="C24" s="25" t="s">
        <v>151</v>
      </c>
      <c r="D24" s="140">
        <f>VLOOKUP($B24,Taul2!$A$29:$F$224,3,FALSE)</f>
        <v>3559.99</v>
      </c>
      <c r="E24" s="140">
        <f>VLOOKUP($B24,Taul2!$A$29:$F$224,4,FALSE)</f>
        <v>3686.53</v>
      </c>
      <c r="F24" s="140">
        <f>VLOOKUP($B24,Taul2!$A$29:$F$224,5,FALSE)</f>
        <v>3559.99</v>
      </c>
      <c r="G24" s="140">
        <f>VLOOKUP($B24,Taul2!$A$29:$F$224,6,FALSE)</f>
        <v>3686.53</v>
      </c>
      <c r="N24" s="125"/>
    </row>
    <row r="25" spans="1:14" ht="13.5">
      <c r="A25" s="24" t="s">
        <v>226</v>
      </c>
      <c r="B25" s="128">
        <v>40604006</v>
      </c>
      <c r="C25" s="25" t="s">
        <v>152</v>
      </c>
      <c r="D25" s="140">
        <f>VLOOKUP($B25,Taul2!$A$29:$F$224,3,FALSE)</f>
        <v>2967.86</v>
      </c>
      <c r="E25" s="140"/>
      <c r="F25" s="140">
        <f>VLOOKUP($B25,Taul2!$A$29:$F$224,5,FALSE)</f>
        <v>2923.74</v>
      </c>
      <c r="G25" s="140"/>
      <c r="N25" s="125"/>
    </row>
    <row r="26" spans="1:14" ht="13.5">
      <c r="A26" s="24" t="s">
        <v>226</v>
      </c>
      <c r="B26" s="128">
        <v>40604007</v>
      </c>
      <c r="C26" s="25" t="s">
        <v>153</v>
      </c>
      <c r="D26" s="140">
        <f>VLOOKUP($B26,Taul2!$A$29:$F$224,3,FALSE)</f>
        <v>2549.87</v>
      </c>
      <c r="E26" s="140"/>
      <c r="F26" s="140">
        <f>VLOOKUP($B26,Taul2!$A$29:$F$224,5,FALSE)</f>
        <v>2511.99</v>
      </c>
      <c r="G26" s="140"/>
      <c r="N26" s="125"/>
    </row>
    <row r="27" spans="4:14" ht="13.5">
      <c r="D27" s="1"/>
      <c r="E27" s="1"/>
      <c r="F27" s="1"/>
      <c r="G27" s="1"/>
      <c r="N27" s="125"/>
    </row>
    <row r="28" spans="2:14" s="25" customFormat="1" ht="13.5">
      <c r="B28" s="126"/>
      <c r="C28" s="124"/>
      <c r="I28" s="1"/>
      <c r="J28" s="1"/>
      <c r="K28" s="1"/>
      <c r="L28" s="1"/>
      <c r="M28" s="1"/>
      <c r="N28" s="125"/>
    </row>
    <row r="29" spans="1:14" ht="14.25">
      <c r="A29" s="122" t="s">
        <v>253</v>
      </c>
      <c r="B29" s="123"/>
      <c r="C29" s="124"/>
      <c r="N29" s="125"/>
    </row>
    <row r="30" spans="1:14" ht="13.5">
      <c r="A30" s="93"/>
      <c r="B30" s="126"/>
      <c r="C30" s="126"/>
      <c r="N30" s="125"/>
    </row>
    <row r="31" spans="1:14" ht="15">
      <c r="A31" s="127" t="s">
        <v>84</v>
      </c>
      <c r="B31" s="126"/>
      <c r="C31" s="25"/>
      <c r="D31" s="128"/>
      <c r="E31" s="128"/>
      <c r="F31" s="128"/>
      <c r="G31" s="129"/>
      <c r="N31" s="125"/>
    </row>
    <row r="32" spans="1:14" ht="13.5">
      <c r="A32" s="24"/>
      <c r="B32" s="126"/>
      <c r="C32" s="25"/>
      <c r="D32" s="130"/>
      <c r="E32" s="131"/>
      <c r="F32" s="130"/>
      <c r="G32" s="129"/>
      <c r="N32" s="125"/>
    </row>
    <row r="33" spans="1:14" ht="13.5">
      <c r="A33" s="24" t="s">
        <v>225</v>
      </c>
      <c r="B33" s="25" t="s">
        <v>86</v>
      </c>
      <c r="C33" s="25"/>
      <c r="F33" s="132" t="s">
        <v>2</v>
      </c>
      <c r="G33" s="405" t="s">
        <v>3</v>
      </c>
      <c r="N33" s="125"/>
    </row>
    <row r="34" spans="1:20" ht="13.5">
      <c r="A34" s="24"/>
      <c r="B34" s="133" t="s">
        <v>87</v>
      </c>
      <c r="C34" s="25"/>
      <c r="D34" s="134" t="s">
        <v>88</v>
      </c>
      <c r="E34" s="135"/>
      <c r="F34" s="141">
        <v>4226.28</v>
      </c>
      <c r="G34" s="142">
        <v>4205.59</v>
      </c>
      <c r="K34" s="367"/>
      <c r="L34" s="367"/>
      <c r="M34" s="11"/>
      <c r="N34" s="11"/>
      <c r="O34" s="11"/>
      <c r="P34" s="11"/>
      <c r="Q34" s="11"/>
      <c r="R34" s="11"/>
      <c r="S34" s="11"/>
      <c r="T34" s="11"/>
    </row>
    <row r="35" spans="1:20" ht="13.5">
      <c r="A35" s="24"/>
      <c r="B35" s="133"/>
      <c r="C35" s="25"/>
      <c r="D35" s="137" t="s">
        <v>251</v>
      </c>
      <c r="F35" s="143">
        <v>4360.68</v>
      </c>
      <c r="G35" s="144">
        <v>4339.32</v>
      </c>
      <c r="K35" s="367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3.5">
      <c r="A36" s="24"/>
      <c r="B36" s="25"/>
      <c r="C36" s="25"/>
      <c r="D36" s="137" t="s">
        <v>89</v>
      </c>
      <c r="F36" s="143">
        <v>4731.11</v>
      </c>
      <c r="G36" s="144">
        <v>4707.92</v>
      </c>
      <c r="K36" s="367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3.5">
      <c r="A37" s="24"/>
      <c r="B37" s="25"/>
      <c r="C37" s="25"/>
      <c r="D37" s="137" t="s">
        <v>90</v>
      </c>
      <c r="F37" s="143">
        <v>5237.16</v>
      </c>
      <c r="G37" s="144">
        <v>5211.48</v>
      </c>
      <c r="K37" s="367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24"/>
      <c r="B38" s="25"/>
      <c r="C38" s="25"/>
      <c r="D38" s="138" t="s">
        <v>252</v>
      </c>
      <c r="E38" s="139"/>
      <c r="F38" s="280">
        <v>5576.12</v>
      </c>
      <c r="G38" s="281">
        <v>5548.79</v>
      </c>
      <c r="K38" s="367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24"/>
      <c r="B39" s="25"/>
      <c r="C39" s="25"/>
      <c r="K39" s="11"/>
      <c r="L39" s="11"/>
      <c r="M39" s="11"/>
      <c r="N39" s="367"/>
      <c r="O39" s="11"/>
      <c r="P39" s="11"/>
      <c r="Q39" s="11"/>
      <c r="R39" s="11"/>
      <c r="S39" s="11"/>
      <c r="T39" s="11"/>
    </row>
    <row r="40" spans="1:20" ht="13.5">
      <c r="A40" s="24" t="s">
        <v>225</v>
      </c>
      <c r="B40" s="128" t="s">
        <v>91</v>
      </c>
      <c r="C40" s="25"/>
      <c r="K40" s="11"/>
      <c r="L40" s="11"/>
      <c r="M40" s="11"/>
      <c r="N40" s="367"/>
      <c r="O40" s="11"/>
      <c r="P40" s="11"/>
      <c r="Q40" s="11"/>
      <c r="R40" s="11"/>
      <c r="S40" s="11"/>
      <c r="T40" s="11"/>
    </row>
    <row r="41" spans="1:20" ht="13.5">
      <c r="A41" s="93"/>
      <c r="B41" s="133" t="s">
        <v>92</v>
      </c>
      <c r="C41" s="25"/>
      <c r="D41" s="134" t="s">
        <v>88</v>
      </c>
      <c r="E41" s="135"/>
      <c r="F41" s="136">
        <v>3648.12</v>
      </c>
      <c r="G41" s="142">
        <v>3630.25</v>
      </c>
      <c r="K41" s="367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3.5">
      <c r="A42" s="93"/>
      <c r="B42" s="133" t="s">
        <v>93</v>
      </c>
      <c r="C42" s="25"/>
      <c r="D42" s="137" t="s">
        <v>251</v>
      </c>
      <c r="F42" s="296">
        <v>3846.66</v>
      </c>
      <c r="G42" s="144">
        <v>3827.81</v>
      </c>
      <c r="K42" s="367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3.5">
      <c r="A43" s="93"/>
      <c r="B43" s="25"/>
      <c r="C43" s="25"/>
      <c r="D43" s="137" t="s">
        <v>89</v>
      </c>
      <c r="F43" s="296">
        <v>4200.14</v>
      </c>
      <c r="G43" s="144">
        <v>4179.57</v>
      </c>
      <c r="K43" s="367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3.5">
      <c r="A44" s="93"/>
      <c r="B44" s="25"/>
      <c r="C44" s="25"/>
      <c r="D44" s="137" t="s">
        <v>90</v>
      </c>
      <c r="F44" s="296">
        <v>4614.17</v>
      </c>
      <c r="G44" s="144">
        <v>4591.57</v>
      </c>
      <c r="K44" s="367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3.5">
      <c r="A45" s="93"/>
      <c r="B45" s="25"/>
      <c r="C45" s="25"/>
      <c r="D45" s="138" t="s">
        <v>252</v>
      </c>
      <c r="E45" s="139"/>
      <c r="F45" s="288">
        <v>4858.72</v>
      </c>
      <c r="G45" s="281">
        <v>4834.91</v>
      </c>
      <c r="K45" s="367"/>
      <c r="L45" s="11"/>
      <c r="M45" s="11"/>
      <c r="N45" s="11"/>
      <c r="O45" s="11"/>
      <c r="P45" s="11"/>
      <c r="Q45" s="11"/>
      <c r="R45" s="11"/>
      <c r="S45" s="11"/>
      <c r="T45" s="11"/>
    </row>
    <row r="46" spans="1:12" ht="13.5">
      <c r="A46" s="126"/>
      <c r="B46" s="25"/>
      <c r="C46" s="25"/>
      <c r="D46" s="128"/>
      <c r="F46" s="140"/>
      <c r="G46" s="140"/>
      <c r="I46" s="125"/>
      <c r="J46" s="125"/>
      <c r="K46" s="125"/>
      <c r="L46" s="125"/>
    </row>
    <row r="47" spans="1:12" ht="13.5">
      <c r="A47" s="126"/>
      <c r="B47" s="25"/>
      <c r="C47" s="25"/>
      <c r="D47" s="128"/>
      <c r="F47" s="140"/>
      <c r="G47" s="140"/>
      <c r="I47" s="125"/>
      <c r="J47" s="125"/>
      <c r="K47" s="125"/>
      <c r="L47" s="125"/>
    </row>
    <row r="48" spans="1:12" ht="13.5">
      <c r="A48" s="126" t="s">
        <v>225</v>
      </c>
      <c r="B48" s="306" t="s">
        <v>220</v>
      </c>
      <c r="D48" s="134" t="s">
        <v>88</v>
      </c>
      <c r="E48" s="135"/>
      <c r="F48" s="136">
        <v>3274.6</v>
      </c>
      <c r="G48" s="142">
        <v>3233.01</v>
      </c>
      <c r="I48" s="125"/>
      <c r="J48" s="125"/>
      <c r="K48" s="125"/>
      <c r="L48" s="125"/>
    </row>
    <row r="49" spans="1:12" ht="13.5">
      <c r="A49" s="126"/>
      <c r="B49" s="348" t="s">
        <v>219</v>
      </c>
      <c r="D49" s="137" t="s">
        <v>251</v>
      </c>
      <c r="F49" s="296">
        <v>3418.58</v>
      </c>
      <c r="G49" s="144">
        <v>3375.16</v>
      </c>
      <c r="I49" s="125"/>
      <c r="J49" s="125"/>
      <c r="K49" s="125"/>
      <c r="L49" s="125"/>
    </row>
    <row r="50" spans="1:12" ht="13.5">
      <c r="A50" s="126"/>
      <c r="B50" s="25"/>
      <c r="D50" s="137" t="s">
        <v>89</v>
      </c>
      <c r="F50" s="296">
        <v>3674.85</v>
      </c>
      <c r="G50" s="144">
        <v>3628.17</v>
      </c>
      <c r="I50" s="125"/>
      <c r="J50" s="125"/>
      <c r="K50" s="125"/>
      <c r="L50" s="125"/>
    </row>
    <row r="51" spans="1:12" ht="13.5">
      <c r="A51" s="126"/>
      <c r="B51" s="25"/>
      <c r="D51" s="137" t="s">
        <v>90</v>
      </c>
      <c r="F51" s="296">
        <v>3975.02</v>
      </c>
      <c r="G51" s="144">
        <v>3924.54</v>
      </c>
      <c r="I51" s="125"/>
      <c r="J51" s="125"/>
      <c r="K51" s="125"/>
      <c r="L51" s="125"/>
    </row>
    <row r="52" spans="1:12" ht="13.5">
      <c r="A52" s="126"/>
      <c r="B52" s="25"/>
      <c r="D52" s="138" t="s">
        <v>252</v>
      </c>
      <c r="E52" s="139"/>
      <c r="F52" s="288">
        <v>4152.3</v>
      </c>
      <c r="G52" s="281">
        <v>4099.57</v>
      </c>
      <c r="I52" s="125"/>
      <c r="J52" s="125"/>
      <c r="K52" s="125"/>
      <c r="L52" s="125"/>
    </row>
    <row r="53" spans="1:12" ht="13.5">
      <c r="A53" s="126"/>
      <c r="B53" s="25"/>
      <c r="C53" s="25"/>
      <c r="D53" s="128"/>
      <c r="F53" s="140"/>
      <c r="G53" s="140"/>
      <c r="I53" s="125"/>
      <c r="J53" s="125"/>
      <c r="K53" s="125"/>
      <c r="L53" s="125"/>
    </row>
    <row r="54" spans="1:24" ht="14.25">
      <c r="A54" s="122" t="s">
        <v>256</v>
      </c>
      <c r="B54" s="123"/>
      <c r="C54" s="124"/>
      <c r="I54" s="125"/>
      <c r="J54" s="125"/>
      <c r="K54" s="125"/>
      <c r="L54" s="125"/>
      <c r="O54"/>
      <c r="P54"/>
      <c r="Q54"/>
      <c r="R54"/>
      <c r="S54"/>
      <c r="T54"/>
      <c r="U54"/>
      <c r="V54"/>
      <c r="W54"/>
      <c r="X54"/>
    </row>
    <row r="55" spans="1:24" ht="13.5">
      <c r="A55" s="93"/>
      <c r="B55" s="126"/>
      <c r="C55" s="126"/>
      <c r="I55" s="125"/>
      <c r="J55" s="125"/>
      <c r="K55" s="125"/>
      <c r="L55" s="125"/>
      <c r="O55"/>
      <c r="P55"/>
      <c r="Q55"/>
      <c r="R55"/>
      <c r="S55"/>
      <c r="T55"/>
      <c r="U55"/>
      <c r="V55"/>
      <c r="W55"/>
      <c r="X55"/>
    </row>
    <row r="56" spans="1:24" ht="15">
      <c r="A56" s="127" t="s">
        <v>94</v>
      </c>
      <c r="B56" s="25"/>
      <c r="C56" s="25"/>
      <c r="F56" s="126"/>
      <c r="I56" s="125"/>
      <c r="J56" s="125"/>
      <c r="K56" s="125"/>
      <c r="L56" s="125"/>
      <c r="O56"/>
      <c r="P56"/>
      <c r="Q56"/>
      <c r="R56"/>
      <c r="S56"/>
      <c r="T56"/>
      <c r="U56"/>
      <c r="V56"/>
      <c r="W56"/>
      <c r="X56"/>
    </row>
    <row r="57" spans="1:24" ht="13.5">
      <c r="A57" s="25"/>
      <c r="D57" s="282" t="s">
        <v>95</v>
      </c>
      <c r="E57" s="282" t="s">
        <v>95</v>
      </c>
      <c r="F57" s="282" t="s">
        <v>46</v>
      </c>
      <c r="G57" s="142" t="s">
        <v>46</v>
      </c>
      <c r="H57" s="282" t="s">
        <v>48</v>
      </c>
      <c r="I57" s="142" t="s">
        <v>48</v>
      </c>
      <c r="J57" s="282" t="s">
        <v>49</v>
      </c>
      <c r="K57" s="142" t="s">
        <v>49</v>
      </c>
      <c r="L57" s="282" t="s">
        <v>50</v>
      </c>
      <c r="M57" s="142" t="s">
        <v>50</v>
      </c>
      <c r="O57"/>
      <c r="P57"/>
      <c r="Q57"/>
      <c r="R57"/>
      <c r="S57"/>
      <c r="T57"/>
      <c r="U57"/>
      <c r="V57"/>
      <c r="W57"/>
      <c r="X57"/>
    </row>
    <row r="58" spans="4:24" ht="13.5">
      <c r="D58" s="283" t="s">
        <v>96</v>
      </c>
      <c r="E58" s="283" t="s">
        <v>97</v>
      </c>
      <c r="F58" s="283" t="s">
        <v>96</v>
      </c>
      <c r="G58" s="281" t="s">
        <v>97</v>
      </c>
      <c r="H58" s="283" t="s">
        <v>96</v>
      </c>
      <c r="I58" s="281" t="s">
        <v>97</v>
      </c>
      <c r="J58" s="283" t="s">
        <v>96</v>
      </c>
      <c r="K58" s="281" t="s">
        <v>97</v>
      </c>
      <c r="L58" s="283" t="s">
        <v>96</v>
      </c>
      <c r="M58" s="281" t="s">
        <v>97</v>
      </c>
      <c r="O58"/>
      <c r="P58"/>
      <c r="Q58"/>
      <c r="R58"/>
      <c r="S58"/>
      <c r="T58"/>
      <c r="U58"/>
      <c r="V58"/>
      <c r="W58"/>
      <c r="X58"/>
    </row>
    <row r="59" spans="1:24" ht="13.5">
      <c r="A59" s="24" t="s">
        <v>224</v>
      </c>
      <c r="B59" s="128">
        <v>43004004</v>
      </c>
      <c r="C59" s="25" t="s">
        <v>98</v>
      </c>
      <c r="D59" s="296">
        <v>3883.41</v>
      </c>
      <c r="E59" s="296">
        <v>4559.49</v>
      </c>
      <c r="F59" s="296">
        <v>4077.56</v>
      </c>
      <c r="G59" s="296">
        <v>4753.68</v>
      </c>
      <c r="H59" s="296">
        <v>4281.45</v>
      </c>
      <c r="I59" s="296">
        <v>4957.56</v>
      </c>
      <c r="J59" s="296">
        <v>4495.53</v>
      </c>
      <c r="K59" s="296">
        <v>5171.62</v>
      </c>
      <c r="L59" s="296">
        <v>4675.35</v>
      </c>
      <c r="M59" s="335">
        <v>5351.48</v>
      </c>
      <c r="O59"/>
      <c r="P59"/>
      <c r="Q59"/>
      <c r="R59"/>
      <c r="S59"/>
      <c r="T59"/>
      <c r="U59"/>
      <c r="V59"/>
      <c r="W59"/>
      <c r="X59"/>
    </row>
    <row r="60" spans="1:24" ht="13.5">
      <c r="A60" s="24" t="s">
        <v>224</v>
      </c>
      <c r="B60" s="128">
        <v>43004005</v>
      </c>
      <c r="C60" s="25" t="s">
        <v>99</v>
      </c>
      <c r="D60" s="296">
        <v>3653.05</v>
      </c>
      <c r="E60" s="296">
        <v>4187.45</v>
      </c>
      <c r="F60" s="296">
        <v>3835.7</v>
      </c>
      <c r="G60" s="296">
        <v>4370.12</v>
      </c>
      <c r="H60" s="296">
        <v>4027.48</v>
      </c>
      <c r="I60" s="296">
        <v>4561.88</v>
      </c>
      <c r="J60" s="296">
        <v>4228.85</v>
      </c>
      <c r="K60" s="296">
        <v>4763.27</v>
      </c>
      <c r="L60" s="296">
        <v>4398.03</v>
      </c>
      <c r="M60" s="335">
        <v>4932.44</v>
      </c>
      <c r="N60" s="25"/>
      <c r="O60"/>
      <c r="P60"/>
      <c r="Q60"/>
      <c r="R60"/>
      <c r="S60"/>
      <c r="T60"/>
      <c r="U60"/>
      <c r="V60"/>
      <c r="W60"/>
      <c r="X60"/>
    </row>
    <row r="61" spans="1:24" ht="13.5">
      <c r="A61" s="24" t="s">
        <v>224</v>
      </c>
      <c r="B61" s="128">
        <v>43004006</v>
      </c>
      <c r="C61" s="25" t="s">
        <v>100</v>
      </c>
      <c r="D61" s="296">
        <v>3172.2</v>
      </c>
      <c r="E61" s="296">
        <v>3638.9</v>
      </c>
      <c r="F61" s="296">
        <v>3330.83</v>
      </c>
      <c r="G61" s="296">
        <v>3797.49</v>
      </c>
      <c r="H61" s="296">
        <v>3497.36</v>
      </c>
      <c r="I61" s="296">
        <v>3964.06</v>
      </c>
      <c r="J61" s="296">
        <v>3672.24</v>
      </c>
      <c r="K61" s="296">
        <v>4138.92</v>
      </c>
      <c r="L61" s="296">
        <v>3819.11</v>
      </c>
      <c r="M61" s="335">
        <v>4285.79</v>
      </c>
      <c r="O61"/>
      <c r="P61"/>
      <c r="Q61"/>
      <c r="R61"/>
      <c r="S61"/>
      <c r="T61"/>
      <c r="U61"/>
      <c r="V61"/>
      <c r="W61"/>
      <c r="X61"/>
    </row>
    <row r="62" spans="1:13" ht="13.5">
      <c r="A62" s="24" t="s">
        <v>224</v>
      </c>
      <c r="B62" s="128">
        <v>43004007</v>
      </c>
      <c r="C62" s="25" t="s">
        <v>350</v>
      </c>
      <c r="D62" s="288">
        <v>2889.3</v>
      </c>
      <c r="E62" s="288">
        <v>3259.78</v>
      </c>
      <c r="F62" s="288">
        <v>3033.79</v>
      </c>
      <c r="G62" s="288">
        <v>3404.25</v>
      </c>
      <c r="H62" s="288">
        <v>3185.47</v>
      </c>
      <c r="I62" s="336">
        <v>3555.92</v>
      </c>
      <c r="J62" s="288">
        <v>3344.76</v>
      </c>
      <c r="K62" s="288">
        <v>3715.2</v>
      </c>
      <c r="L62" s="288">
        <v>3478.55</v>
      </c>
      <c r="M62" s="336">
        <v>3848.98</v>
      </c>
    </row>
    <row r="63" spans="1:3" ht="13.5">
      <c r="A63" s="25"/>
      <c r="B63" s="25"/>
      <c r="C63" s="25"/>
    </row>
    <row r="64" spans="4:7" ht="13.5">
      <c r="D64" s="1"/>
      <c r="E64" s="1"/>
      <c r="F64" s="1"/>
      <c r="G64" s="1"/>
    </row>
    <row r="65" spans="1:12" ht="14.25">
      <c r="A65" s="122" t="s">
        <v>303</v>
      </c>
      <c r="B65" s="123"/>
      <c r="C65" s="124"/>
      <c r="I65" s="125"/>
      <c r="J65" s="125"/>
      <c r="K65" s="125"/>
      <c r="L65" s="125"/>
    </row>
    <row r="66" spans="1:12" ht="13.5">
      <c r="A66" s="93"/>
      <c r="B66" s="126"/>
      <c r="C66" s="126"/>
      <c r="I66" s="125"/>
      <c r="J66" s="125"/>
      <c r="K66" s="125"/>
      <c r="L66" s="125"/>
    </row>
    <row r="67" spans="1:12" ht="15">
      <c r="A67" s="127" t="s">
        <v>94</v>
      </c>
      <c r="B67" s="25"/>
      <c r="C67" s="25"/>
      <c r="D67" s="25" t="s">
        <v>306</v>
      </c>
      <c r="F67" s="126"/>
      <c r="I67" s="125"/>
      <c r="J67" s="125" t="s">
        <v>307</v>
      </c>
      <c r="K67" s="125"/>
      <c r="L67" s="125"/>
    </row>
    <row r="68" spans="1:15" ht="13.5">
      <c r="A68" s="25"/>
      <c r="D68" s="282" t="s">
        <v>95</v>
      </c>
      <c r="E68" s="142" t="s">
        <v>46</v>
      </c>
      <c r="F68" s="282" t="s">
        <v>47</v>
      </c>
      <c r="G68" s="142" t="s">
        <v>48</v>
      </c>
      <c r="H68" s="282" t="s">
        <v>49</v>
      </c>
      <c r="I68" s="135" t="s">
        <v>50</v>
      </c>
      <c r="J68" s="362" t="s">
        <v>95</v>
      </c>
      <c r="K68" s="142" t="s">
        <v>46</v>
      </c>
      <c r="L68" s="282" t="s">
        <v>47</v>
      </c>
      <c r="M68" s="142" t="s">
        <v>48</v>
      </c>
      <c r="N68" s="282" t="s">
        <v>49</v>
      </c>
      <c r="O68" s="142" t="s">
        <v>50</v>
      </c>
    </row>
    <row r="69" spans="4:15" ht="13.5">
      <c r="D69" s="361" t="s">
        <v>2</v>
      </c>
      <c r="E69" s="144" t="s">
        <v>2</v>
      </c>
      <c r="F69" s="361" t="s">
        <v>2</v>
      </c>
      <c r="G69" s="144" t="s">
        <v>2</v>
      </c>
      <c r="H69" s="361" t="s">
        <v>2</v>
      </c>
      <c r="I69" s="25" t="s">
        <v>2</v>
      </c>
      <c r="J69" s="363" t="s">
        <v>3</v>
      </c>
      <c r="K69" s="144" t="s">
        <v>3</v>
      </c>
      <c r="L69" s="361" t="s">
        <v>3</v>
      </c>
      <c r="M69" s="144" t="s">
        <v>3</v>
      </c>
      <c r="N69" s="361" t="s">
        <v>3</v>
      </c>
      <c r="O69" s="144" t="s">
        <v>3</v>
      </c>
    </row>
    <row r="70" spans="1:15" ht="13.5">
      <c r="A70" s="24" t="s">
        <v>289</v>
      </c>
      <c r="B70" s="128">
        <v>41103003</v>
      </c>
      <c r="C70" s="25" t="s">
        <v>183</v>
      </c>
      <c r="D70" s="286">
        <v>3253.34</v>
      </c>
      <c r="E70" s="298">
        <v>3318.42</v>
      </c>
      <c r="F70" s="286">
        <v>3417.98</v>
      </c>
      <c r="G70" s="298">
        <v>3588.86</v>
      </c>
      <c r="H70" s="286">
        <v>3868.8</v>
      </c>
      <c r="I70" s="297">
        <v>4023.56</v>
      </c>
      <c r="J70" s="364">
        <v>3206.53</v>
      </c>
      <c r="K70" s="298">
        <v>3270.68</v>
      </c>
      <c r="L70" s="286">
        <v>3368.79</v>
      </c>
      <c r="M70" s="298">
        <v>3537.22</v>
      </c>
      <c r="N70" s="286">
        <v>3813.13</v>
      </c>
      <c r="O70" s="298">
        <v>3965.66</v>
      </c>
    </row>
    <row r="71" spans="1:15" ht="13.5">
      <c r="A71" s="24" t="s">
        <v>289</v>
      </c>
      <c r="B71" s="128">
        <v>41103004</v>
      </c>
      <c r="C71" s="25" t="s">
        <v>140</v>
      </c>
      <c r="D71" s="335">
        <v>3159.77</v>
      </c>
      <c r="E71" s="290">
        <v>3222.97</v>
      </c>
      <c r="F71" s="335">
        <v>3319.66</v>
      </c>
      <c r="G71" s="290">
        <v>3485.65</v>
      </c>
      <c r="H71" s="335">
        <v>3757.52</v>
      </c>
      <c r="I71" s="140">
        <v>3907.82</v>
      </c>
      <c r="J71" s="365">
        <v>3114.5</v>
      </c>
      <c r="K71" s="290">
        <v>3176.8</v>
      </c>
      <c r="L71" s="335">
        <v>3272.09</v>
      </c>
      <c r="M71" s="290">
        <v>3435.7</v>
      </c>
      <c r="N71" s="335">
        <v>3703.68</v>
      </c>
      <c r="O71" s="290">
        <v>3851.83</v>
      </c>
    </row>
    <row r="72" spans="1:15" ht="13.5">
      <c r="A72" s="24" t="s">
        <v>289</v>
      </c>
      <c r="B72" s="128">
        <v>41104001</v>
      </c>
      <c r="C72" s="25" t="s">
        <v>184</v>
      </c>
      <c r="D72" s="335">
        <v>3498.1</v>
      </c>
      <c r="E72" s="290">
        <v>3691.6</v>
      </c>
      <c r="F72" s="335">
        <v>3828.33</v>
      </c>
      <c r="G72" s="290">
        <v>4041.64</v>
      </c>
      <c r="H72" s="335">
        <v>4267.75</v>
      </c>
      <c r="I72" s="140">
        <v>4507.43</v>
      </c>
      <c r="J72" s="365">
        <v>3451.7</v>
      </c>
      <c r="K72" s="290">
        <v>3642.45</v>
      </c>
      <c r="L72" s="335">
        <v>3777.25</v>
      </c>
      <c r="M72" s="290">
        <v>3987.53</v>
      </c>
      <c r="N72" s="335">
        <v>4210.44</v>
      </c>
      <c r="O72" s="290">
        <v>4446.71</v>
      </c>
    </row>
    <row r="73" spans="1:15" ht="13.5">
      <c r="A73" s="24" t="s">
        <v>289</v>
      </c>
      <c r="B73" s="128">
        <v>41104002</v>
      </c>
      <c r="C73" s="1" t="s">
        <v>294</v>
      </c>
      <c r="D73" s="335">
        <v>3152.19</v>
      </c>
      <c r="E73" s="290">
        <v>3326.55</v>
      </c>
      <c r="F73" s="335">
        <v>3449.76</v>
      </c>
      <c r="G73" s="290">
        <v>3641.99</v>
      </c>
      <c r="H73" s="335">
        <v>3845.74</v>
      </c>
      <c r="I73" s="140">
        <v>4061.72</v>
      </c>
      <c r="J73" s="365">
        <v>3110.39</v>
      </c>
      <c r="K73" s="290">
        <v>3282.28</v>
      </c>
      <c r="L73" s="335">
        <v>3403.75</v>
      </c>
      <c r="M73" s="290">
        <v>3593.23</v>
      </c>
      <c r="N73" s="335">
        <v>3794.11</v>
      </c>
      <c r="O73" s="290">
        <v>4007.01</v>
      </c>
    </row>
    <row r="74" spans="1:15" ht="13.5">
      <c r="A74" s="24" t="s">
        <v>289</v>
      </c>
      <c r="B74" s="128">
        <v>41104003</v>
      </c>
      <c r="C74" s="1" t="s">
        <v>295</v>
      </c>
      <c r="D74" s="361">
        <v>2844.44</v>
      </c>
      <c r="E74" s="144">
        <v>3001.77</v>
      </c>
      <c r="F74" s="361">
        <v>3112.97</v>
      </c>
      <c r="G74" s="144">
        <v>3286.43</v>
      </c>
      <c r="H74" s="361">
        <v>3470.28</v>
      </c>
      <c r="I74" s="25">
        <v>3665.17</v>
      </c>
      <c r="J74" s="363">
        <v>2806.76</v>
      </c>
      <c r="K74" s="144">
        <v>2961.88</v>
      </c>
      <c r="L74" s="361">
        <v>3071.48</v>
      </c>
      <c r="M74" s="144">
        <v>3242.49</v>
      </c>
      <c r="N74" s="361">
        <v>3423.73</v>
      </c>
      <c r="O74" s="144">
        <v>3615.86</v>
      </c>
    </row>
    <row r="75" spans="1:15" ht="13.5">
      <c r="A75" s="24" t="s">
        <v>289</v>
      </c>
      <c r="B75" s="128">
        <v>41104004</v>
      </c>
      <c r="C75" s="1" t="s">
        <v>296</v>
      </c>
      <c r="D75" s="361">
        <v>2801.84</v>
      </c>
      <c r="E75" s="144">
        <v>2956.83</v>
      </c>
      <c r="F75" s="361">
        <v>3066.36</v>
      </c>
      <c r="G75" s="144">
        <v>3237.21</v>
      </c>
      <c r="H75" s="361">
        <v>3418.32</v>
      </c>
      <c r="I75" s="25">
        <v>3610.31</v>
      </c>
      <c r="J75" s="363">
        <v>2765.08</v>
      </c>
      <c r="K75" s="144">
        <v>2917.89</v>
      </c>
      <c r="L75" s="361">
        <v>3025.87</v>
      </c>
      <c r="M75" s="144">
        <v>3194.32</v>
      </c>
      <c r="N75" s="361">
        <v>3372.88</v>
      </c>
      <c r="O75" s="144">
        <v>3562.16</v>
      </c>
    </row>
    <row r="76" spans="1:15" ht="13.5">
      <c r="A76" s="24" t="s">
        <v>289</v>
      </c>
      <c r="B76" s="1">
        <v>41107001</v>
      </c>
      <c r="C76" s="25" t="s">
        <v>282</v>
      </c>
      <c r="D76" s="335">
        <v>3498.1</v>
      </c>
      <c r="E76" s="290">
        <v>3691.6</v>
      </c>
      <c r="F76" s="335">
        <v>3828.33</v>
      </c>
      <c r="G76" s="290">
        <v>4041.64</v>
      </c>
      <c r="H76" s="335">
        <v>4267.75</v>
      </c>
      <c r="I76" s="140">
        <v>4507.43</v>
      </c>
      <c r="J76" s="365">
        <v>3451.7</v>
      </c>
      <c r="K76" s="290">
        <v>3642.45</v>
      </c>
      <c r="L76" s="335">
        <v>3777.25</v>
      </c>
      <c r="M76" s="290">
        <v>3987.53</v>
      </c>
      <c r="N76" s="335">
        <v>4210.44</v>
      </c>
      <c r="O76" s="290">
        <v>4446.71</v>
      </c>
    </row>
    <row r="77" spans="1:15" ht="13.5">
      <c r="A77" s="24" t="s">
        <v>289</v>
      </c>
      <c r="B77" s="1">
        <v>41107002</v>
      </c>
      <c r="C77" s="1" t="s">
        <v>304</v>
      </c>
      <c r="D77" s="335">
        <v>3152.19</v>
      </c>
      <c r="E77" s="290">
        <v>3326.55</v>
      </c>
      <c r="F77" s="335">
        <v>3449.76</v>
      </c>
      <c r="G77" s="290">
        <v>3641.99</v>
      </c>
      <c r="H77" s="335">
        <v>3845.74</v>
      </c>
      <c r="I77" s="140">
        <v>4061.72</v>
      </c>
      <c r="J77" s="365">
        <v>3110.39</v>
      </c>
      <c r="K77" s="290">
        <v>3282.28</v>
      </c>
      <c r="L77" s="335">
        <v>3403.75</v>
      </c>
      <c r="M77" s="290">
        <v>3593.23</v>
      </c>
      <c r="N77" s="335">
        <v>3794.11</v>
      </c>
      <c r="O77" s="290">
        <v>4007.01</v>
      </c>
    </row>
    <row r="78" spans="1:15" ht="13.5">
      <c r="A78" s="24" t="s">
        <v>289</v>
      </c>
      <c r="B78" s="1">
        <v>41107003</v>
      </c>
      <c r="C78" s="1" t="s">
        <v>305</v>
      </c>
      <c r="D78" s="361">
        <v>2844.44</v>
      </c>
      <c r="E78" s="144">
        <v>3001.77</v>
      </c>
      <c r="F78" s="361">
        <v>3112.97</v>
      </c>
      <c r="G78" s="144">
        <v>3286.43</v>
      </c>
      <c r="H78" s="361">
        <v>3470.28</v>
      </c>
      <c r="I78" s="25">
        <v>3665.17</v>
      </c>
      <c r="J78" s="363">
        <v>2806.76</v>
      </c>
      <c r="K78" s="144">
        <v>2961.88</v>
      </c>
      <c r="L78" s="361">
        <v>3071.48</v>
      </c>
      <c r="M78" s="144">
        <v>3242.49</v>
      </c>
      <c r="N78" s="361">
        <v>3423.73</v>
      </c>
      <c r="O78" s="144">
        <v>3615.86</v>
      </c>
    </row>
    <row r="79" spans="1:15" ht="13.5">
      <c r="A79" s="24" t="s">
        <v>289</v>
      </c>
      <c r="B79" s="1">
        <v>41107004</v>
      </c>
      <c r="C79" s="1" t="s">
        <v>297</v>
      </c>
      <c r="D79" s="283">
        <v>2801.84</v>
      </c>
      <c r="E79" s="281">
        <v>2956.83</v>
      </c>
      <c r="F79" s="283">
        <v>3066.36</v>
      </c>
      <c r="G79" s="281">
        <v>3237.21</v>
      </c>
      <c r="H79" s="283">
        <v>3418.32</v>
      </c>
      <c r="I79" s="139">
        <v>3610.31</v>
      </c>
      <c r="J79" s="366">
        <v>2765.08</v>
      </c>
      <c r="K79" s="281">
        <v>2917.89</v>
      </c>
      <c r="L79" s="283">
        <v>3025.87</v>
      </c>
      <c r="M79" s="281">
        <v>3194.32</v>
      </c>
      <c r="N79" s="283">
        <v>3372.88</v>
      </c>
      <c r="O79" s="281">
        <v>3562.16</v>
      </c>
    </row>
    <row r="80" spans="5:7" ht="13.5">
      <c r="E80" s="1"/>
      <c r="F80" s="1"/>
      <c r="G80" s="1"/>
    </row>
    <row r="81" spans="1:7" ht="18">
      <c r="A81" s="211" t="s">
        <v>154</v>
      </c>
      <c r="D81" s="1"/>
      <c r="E81" s="1"/>
      <c r="F81" s="1"/>
      <c r="G81" s="1"/>
    </row>
    <row r="82" spans="4:7" ht="13.5">
      <c r="D82" s="1"/>
      <c r="E82" s="1"/>
      <c r="F82" s="1"/>
      <c r="G82" s="1"/>
    </row>
    <row r="83" spans="1:7" ht="15">
      <c r="A83" s="127" t="s">
        <v>155</v>
      </c>
      <c r="B83" s="25"/>
      <c r="C83" s="25"/>
      <c r="F83" s="1"/>
      <c r="G83" s="1"/>
    </row>
    <row r="84" spans="1:7" ht="13.5">
      <c r="A84" s="24"/>
      <c r="B84" s="25"/>
      <c r="C84" s="25"/>
      <c r="F84" s="1"/>
      <c r="G84" s="1"/>
    </row>
    <row r="85" spans="1:6" ht="13.5">
      <c r="A85" s="24" t="s">
        <v>141</v>
      </c>
      <c r="B85" s="25">
        <v>40807029</v>
      </c>
      <c r="C85" s="25" t="s">
        <v>156</v>
      </c>
      <c r="D85" s="1">
        <f>VLOOKUP($B85,Taul2!$A$29:$F$224,3,FALSE)</f>
        <v>30.16</v>
      </c>
      <c r="E85" s="25" t="s">
        <v>60</v>
      </c>
      <c r="F85" s="1"/>
    </row>
    <row r="86" spans="1:5" ht="13.5">
      <c r="A86" s="24" t="s">
        <v>141</v>
      </c>
      <c r="B86" s="214">
        <v>40807030</v>
      </c>
      <c r="C86" s="214" t="s">
        <v>308</v>
      </c>
      <c r="D86" s="1">
        <f>VLOOKUP($B86,Taul2!$A$29:$F$224,3,FALSE)</f>
        <v>29.17</v>
      </c>
      <c r="E86" s="25" t="s">
        <v>60</v>
      </c>
    </row>
    <row r="87" spans="1:5" ht="13.5">
      <c r="A87" s="24" t="s">
        <v>141</v>
      </c>
      <c r="B87" s="25">
        <v>40807031</v>
      </c>
      <c r="C87" s="25" t="s">
        <v>157</v>
      </c>
      <c r="D87" s="1">
        <f>VLOOKUP($B87,Taul2!$A$29:$F$224,3,FALSE)</f>
        <v>25.92</v>
      </c>
      <c r="E87" s="25" t="s">
        <v>60</v>
      </c>
    </row>
    <row r="88" spans="1:4" ht="13.5">
      <c r="A88" s="25"/>
      <c r="B88" s="25"/>
      <c r="C88" s="25"/>
      <c r="D88" s="1"/>
    </row>
    <row r="89" spans="1:6" ht="15">
      <c r="A89" s="127" t="s">
        <v>158</v>
      </c>
      <c r="B89" s="128"/>
      <c r="C89" s="25"/>
      <c r="D89" s="1"/>
      <c r="E89" s="140"/>
      <c r="F89" s="140"/>
    </row>
    <row r="90" spans="1:5" ht="13.5">
      <c r="A90" s="24"/>
      <c r="B90" s="25"/>
      <c r="C90" s="25"/>
      <c r="D90" s="130" t="s">
        <v>120</v>
      </c>
      <c r="E90" s="130" t="s">
        <v>121</v>
      </c>
    </row>
    <row r="91" spans="1:8" ht="13.5">
      <c r="A91" s="24" t="s">
        <v>159</v>
      </c>
      <c r="B91" s="128">
        <v>40607033</v>
      </c>
      <c r="C91" s="25" t="s">
        <v>245</v>
      </c>
      <c r="D91" s="1">
        <v>29.51</v>
      </c>
      <c r="E91" s="1">
        <v>29.05</v>
      </c>
      <c r="F91" s="25" t="s">
        <v>60</v>
      </c>
      <c r="G91"/>
      <c r="H91"/>
    </row>
    <row r="92" spans="1:8" ht="13.5">
      <c r="A92" s="25"/>
      <c r="B92" s="25">
        <v>40607034</v>
      </c>
      <c r="C92" s="25" t="s">
        <v>246</v>
      </c>
      <c r="D92" s="1">
        <v>27.81</v>
      </c>
      <c r="E92" s="1">
        <v>27.45</v>
      </c>
      <c r="F92" s="25" t="s">
        <v>60</v>
      </c>
      <c r="G92"/>
      <c r="H92"/>
    </row>
    <row r="93" spans="2:8" ht="12" customHeight="1">
      <c r="B93" s="1">
        <v>40607035</v>
      </c>
      <c r="C93" s="1" t="s">
        <v>247</v>
      </c>
      <c r="D93" s="1">
        <v>27.02</v>
      </c>
      <c r="E93" s="1">
        <v>26.61</v>
      </c>
      <c r="F93" s="25" t="s">
        <v>60</v>
      </c>
      <c r="G93"/>
      <c r="H93"/>
    </row>
    <row r="96" spans="1:3" ht="13.5">
      <c r="A96" s="25"/>
      <c r="B96" s="25"/>
      <c r="C96" s="25"/>
    </row>
    <row r="97" ht="18">
      <c r="A97" s="211"/>
    </row>
    <row r="98" spans="1:3" ht="13.5">
      <c r="A98" s="25"/>
      <c r="B98" s="25"/>
      <c r="C98" s="25"/>
    </row>
    <row r="99" spans="1:5" ht="13.5">
      <c r="A99" s="24"/>
      <c r="B99" s="25"/>
      <c r="C99" s="25"/>
      <c r="D99" s="140"/>
      <c r="E99" s="128"/>
    </row>
    <row r="100" ht="13.5">
      <c r="A100" s="25"/>
    </row>
    <row r="101" spans="2:3" ht="13.5">
      <c r="B101" s="25"/>
      <c r="C101" s="25"/>
    </row>
    <row r="102" spans="2:3" ht="13.5">
      <c r="B102" s="25"/>
      <c r="C102" s="25"/>
    </row>
    <row r="103" spans="1:6" ht="13.5">
      <c r="A103" s="25"/>
      <c r="F103" s="140"/>
    </row>
    <row r="104" spans="1:6" ht="13.5">
      <c r="A104" s="25"/>
      <c r="B104" s="25"/>
      <c r="C104" s="25"/>
      <c r="D104" s="140"/>
      <c r="F104" s="140"/>
    </row>
    <row r="105" spans="1:6" ht="13.5">
      <c r="A105" s="25"/>
      <c r="D105" s="140"/>
      <c r="F105" s="140"/>
    </row>
    <row r="106" spans="1:6" ht="13.5">
      <c r="A106" s="25"/>
      <c r="B106" s="25"/>
      <c r="C106" s="25"/>
      <c r="D106" s="140"/>
      <c r="F106" s="140"/>
    </row>
    <row r="107" spans="1:6" ht="13.5">
      <c r="A107" s="25"/>
      <c r="D107" s="140"/>
      <c r="F107" s="140"/>
    </row>
    <row r="108" spans="1:6" ht="13.5">
      <c r="A108" s="25"/>
      <c r="B108" s="25"/>
      <c r="C108" s="25"/>
      <c r="D108" s="140"/>
      <c r="F108" s="140"/>
    </row>
    <row r="109" spans="1:6" ht="13.5">
      <c r="A109" s="25"/>
      <c r="D109" s="140"/>
      <c r="F109" s="140"/>
    </row>
    <row r="110" spans="2:3" ht="13.5">
      <c r="B110" s="25"/>
      <c r="C110" s="25"/>
    </row>
    <row r="111" ht="13.5">
      <c r="A111" s="25"/>
    </row>
    <row r="112" spans="1:4" ht="13.5">
      <c r="A112" s="25"/>
      <c r="B112" s="25"/>
      <c r="C112" s="25"/>
      <c r="D112" s="140"/>
    </row>
    <row r="113" spans="1:4" ht="13.5">
      <c r="A113" s="25"/>
      <c r="D113" s="140"/>
    </row>
    <row r="114" spans="1:4" ht="13.5">
      <c r="A114" s="25"/>
      <c r="B114" s="25"/>
      <c r="C114" s="25"/>
      <c r="D114" s="140"/>
    </row>
    <row r="115" spans="1:4" ht="13.5">
      <c r="A115" s="25"/>
      <c r="D115" s="140"/>
    </row>
    <row r="116" spans="2:4" ht="13.5">
      <c r="B116" s="25"/>
      <c r="C116" s="25"/>
      <c r="D116" s="140"/>
    </row>
    <row r="117" ht="13.5">
      <c r="A117" s="25"/>
    </row>
    <row r="118" spans="1:4" ht="13.5">
      <c r="A118" s="25"/>
      <c r="B118" s="25"/>
      <c r="C118" s="25"/>
      <c r="D118" s="140"/>
    </row>
    <row r="119" spans="1:3" ht="13.5">
      <c r="A119" s="25"/>
      <c r="B119" s="25"/>
      <c r="C119" s="25"/>
    </row>
    <row r="120" spans="4:6" ht="13.5">
      <c r="D120" s="140"/>
      <c r="E120" s="140"/>
      <c r="F120" s="140"/>
    </row>
    <row r="121" spans="1:6" ht="13.5">
      <c r="A121" s="25"/>
      <c r="B121" s="25"/>
      <c r="C121" s="25"/>
      <c r="D121" s="140"/>
      <c r="E121" s="140"/>
      <c r="F121" s="140"/>
    </row>
    <row r="122" spans="4:6" ht="13.5">
      <c r="D122" s="140"/>
      <c r="E122" s="140"/>
      <c r="F122" s="140"/>
    </row>
    <row r="123" spans="1:6" ht="13.5">
      <c r="A123" s="25"/>
      <c r="B123" s="25"/>
      <c r="C123" s="25"/>
      <c r="D123" s="140"/>
      <c r="E123" s="264"/>
      <c r="F123" s="140"/>
    </row>
    <row r="124" spans="1:6" ht="13.5">
      <c r="A124" s="25"/>
      <c r="B124" s="25"/>
      <c r="C124" s="25"/>
      <c r="D124" s="140"/>
      <c r="E124" s="264"/>
      <c r="F124" s="140"/>
    </row>
    <row r="125" spans="1:6" ht="13.5">
      <c r="A125" s="25"/>
      <c r="B125" s="25"/>
      <c r="C125" s="25"/>
      <c r="D125" s="140"/>
      <c r="E125" s="264"/>
      <c r="F125" s="140"/>
    </row>
    <row r="126" spans="4:6" ht="13.5">
      <c r="D126" s="140"/>
      <c r="E126" s="140"/>
      <c r="F126" s="140"/>
    </row>
    <row r="127" spans="1:6" ht="13.5">
      <c r="A127" s="25"/>
      <c r="B127" s="25"/>
      <c r="C127" s="25"/>
      <c r="D127" s="140"/>
      <c r="E127" s="264"/>
      <c r="F127" s="140"/>
    </row>
    <row r="128" spans="4:6" ht="13.5">
      <c r="D128" s="140"/>
      <c r="E128" s="140"/>
      <c r="F128" s="140"/>
    </row>
    <row r="129" spans="1:6" ht="13.5">
      <c r="A129" s="25"/>
      <c r="B129" s="128"/>
      <c r="C129" s="25"/>
      <c r="D129" s="140"/>
      <c r="E129" s="140"/>
      <c r="F129" s="140"/>
    </row>
    <row r="130" ht="13.5">
      <c r="F130" s="140"/>
    </row>
    <row r="131" spans="1:6" ht="13.5">
      <c r="A131" s="25"/>
      <c r="B131" s="25"/>
      <c r="C131" s="25"/>
      <c r="F131" s="140"/>
    </row>
    <row r="132" ht="13.5">
      <c r="F132" s="140"/>
    </row>
    <row r="133" spans="1:6" ht="13.5">
      <c r="A133" s="25"/>
      <c r="B133" s="25"/>
      <c r="C133" s="25"/>
      <c r="F133" s="140"/>
    </row>
    <row r="135" spans="1:3" ht="13.5">
      <c r="A135" s="25"/>
      <c r="B135" s="25"/>
      <c r="C135" s="25"/>
    </row>
    <row r="137" spans="1:3" ht="13.5">
      <c r="A137" s="25"/>
      <c r="B137" s="25"/>
      <c r="C137" s="25"/>
    </row>
    <row r="139" spans="1:3" ht="13.5">
      <c r="A139" s="25"/>
      <c r="B139" s="25"/>
      <c r="C139" s="25"/>
    </row>
    <row r="141" spans="1:3" ht="13.5">
      <c r="A141" s="25"/>
      <c r="B141" s="25"/>
      <c r="C141" s="25"/>
    </row>
    <row r="143" spans="1:3" ht="13.5">
      <c r="A143" s="25"/>
      <c r="B143" s="25"/>
      <c r="C143" s="25"/>
    </row>
    <row r="145" spans="1:3" ht="13.5">
      <c r="A145" s="25"/>
      <c r="B145" s="25"/>
      <c r="C145" s="25"/>
    </row>
    <row r="147" spans="1:3" ht="13.5">
      <c r="A147" s="25"/>
      <c r="B147" s="25"/>
      <c r="C147" s="25"/>
    </row>
    <row r="149" spans="1:3" ht="13.5">
      <c r="A149" s="25"/>
      <c r="B149" s="25"/>
      <c r="C149" s="25"/>
    </row>
    <row r="151" spans="1:3" ht="13.5">
      <c r="A151" s="25"/>
      <c r="B151" s="25"/>
      <c r="C151" s="25"/>
    </row>
    <row r="153" spans="1:3" ht="13.5">
      <c r="A153" s="25"/>
      <c r="B153" s="25"/>
      <c r="C153" s="25"/>
    </row>
    <row r="155" spans="1:3" ht="13.5">
      <c r="A155" s="25"/>
      <c r="B155" s="25"/>
      <c r="C155" s="25"/>
    </row>
    <row r="157" spans="1:3" ht="13.5">
      <c r="A157" s="25"/>
      <c r="B157" s="25"/>
      <c r="C157" s="25"/>
    </row>
    <row r="159" spans="1:3" ht="13.5">
      <c r="A159" s="25"/>
      <c r="B159" s="25"/>
      <c r="C159" s="25"/>
    </row>
    <row r="161" spans="1:3" ht="13.5">
      <c r="A161" s="25"/>
      <c r="B161" s="25"/>
      <c r="C161" s="25"/>
    </row>
    <row r="163" spans="1:3" ht="13.5">
      <c r="A163" s="25"/>
      <c r="B163" s="25"/>
      <c r="C163" s="25"/>
    </row>
    <row r="165" spans="1:3" ht="13.5">
      <c r="A165" s="25"/>
      <c r="B165" s="25"/>
      <c r="C165" s="25"/>
    </row>
    <row r="167" spans="1:3" ht="13.5">
      <c r="A167" s="25"/>
      <c r="B167" s="25"/>
      <c r="C167" s="25"/>
    </row>
    <row r="169" spans="1:3" ht="13.5">
      <c r="A169" s="25"/>
      <c r="B169" s="25"/>
      <c r="C169" s="25"/>
    </row>
    <row r="171" spans="1:3" ht="13.5">
      <c r="A171" s="25"/>
      <c r="B171" s="25"/>
      <c r="C171" s="25"/>
    </row>
    <row r="173" spans="1:3" ht="13.5">
      <c r="A173" s="25"/>
      <c r="B173" s="25"/>
      <c r="C173" s="25"/>
    </row>
    <row r="175" spans="1:3" ht="13.5">
      <c r="A175" s="25"/>
      <c r="B175" s="25"/>
      <c r="C175" s="25"/>
    </row>
    <row r="177" spans="1:3" ht="13.5">
      <c r="A177" s="25"/>
      <c r="B177" s="25"/>
      <c r="C177" s="25"/>
    </row>
    <row r="179" spans="1:3" ht="13.5">
      <c r="A179" s="25"/>
      <c r="B179" s="25"/>
      <c r="C179" s="25"/>
    </row>
    <row r="181" spans="1:3" ht="13.5">
      <c r="A181" s="25"/>
      <c r="B181" s="25"/>
      <c r="C181" s="25"/>
    </row>
    <row r="183" spans="1:3" ht="13.5">
      <c r="A183" s="25"/>
      <c r="B183" s="25"/>
      <c r="C183" s="25"/>
    </row>
    <row r="185" spans="1:3" ht="13.5">
      <c r="A185" s="25"/>
      <c r="B185" s="25"/>
      <c r="C185" s="25"/>
    </row>
    <row r="187" spans="1:3" ht="13.5">
      <c r="A187" s="25"/>
      <c r="B187" s="25"/>
      <c r="C187" s="25"/>
    </row>
    <row r="189" spans="1:3" ht="13.5">
      <c r="A189" s="25"/>
      <c r="B189" s="25"/>
      <c r="C189" s="25"/>
    </row>
    <row r="191" spans="1:3" ht="13.5">
      <c r="A191" s="25"/>
      <c r="B191" s="25"/>
      <c r="C191" s="25"/>
    </row>
    <row r="193" spans="1:3" ht="13.5">
      <c r="A193" s="25"/>
      <c r="B193" s="25"/>
      <c r="C193" s="25"/>
    </row>
    <row r="195" spans="1:3" ht="13.5">
      <c r="A195" s="25"/>
      <c r="B195" s="25"/>
      <c r="C195" s="25"/>
    </row>
    <row r="197" spans="1:3" ht="13.5">
      <c r="A197" s="25"/>
      <c r="B197" s="25"/>
      <c r="C197" s="25"/>
    </row>
    <row r="199" spans="1:3" ht="13.5">
      <c r="A199" s="25"/>
      <c r="B199" s="25"/>
      <c r="C199" s="25"/>
    </row>
    <row r="201" spans="1:3" ht="13.5">
      <c r="A201" s="25"/>
      <c r="B201" s="25"/>
      <c r="C201" s="25"/>
    </row>
    <row r="203" spans="1:3" ht="13.5">
      <c r="A203" s="25"/>
      <c r="B203" s="25"/>
      <c r="C203" s="25"/>
    </row>
    <row r="205" spans="1:3" ht="13.5">
      <c r="A205" s="25"/>
      <c r="B205" s="25"/>
      <c r="C205" s="25"/>
    </row>
    <row r="207" spans="1:3" ht="13.5">
      <c r="A207" s="25"/>
      <c r="B207" s="25"/>
      <c r="C207" s="25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33"/>
  <sheetViews>
    <sheetView zoomScalePageLayoutView="0" workbookViewId="0" topLeftCell="C23">
      <selection activeCell="K30" sqref="K30"/>
    </sheetView>
  </sheetViews>
  <sheetFormatPr defaultColWidth="9.28125" defaultRowHeight="12.75"/>
  <cols>
    <col min="1" max="1" width="12.28125" style="338" customWidth="1"/>
    <col min="2" max="2" width="101.28125" style="305" customWidth="1"/>
    <col min="3" max="3" width="10.00390625" style="314" customWidth="1"/>
    <col min="4" max="4" width="9.28125" style="314" customWidth="1"/>
    <col min="5" max="5" width="10.00390625" style="314" customWidth="1"/>
    <col min="6" max="6" width="8.7109375" style="386" bestFit="1" customWidth="1"/>
    <col min="7" max="8" width="11.57421875" style="386" customWidth="1"/>
    <col min="9" max="10" width="8.7109375" style="386" customWidth="1"/>
    <col min="11" max="12" width="9.28125" style="388" customWidth="1"/>
    <col min="13" max="13" width="11.421875" style="388" bestFit="1" customWidth="1"/>
    <col min="14" max="16384" width="9.28125" style="388" customWidth="1"/>
  </cols>
  <sheetData>
    <row r="1" spans="1:10" ht="14.25">
      <c r="A1" s="337" t="s">
        <v>334</v>
      </c>
      <c r="C1" s="337"/>
      <c r="D1" s="384"/>
      <c r="E1" s="338"/>
      <c r="I1" s="387"/>
      <c r="J1" s="314"/>
    </row>
    <row r="2" spans="1:11" ht="14.25">
      <c r="A2" s="388"/>
      <c r="B2" s="337"/>
      <c r="C2" s="339"/>
      <c r="D2" s="339"/>
      <c r="I2" s="388"/>
      <c r="J2" s="388"/>
      <c r="K2" s="314"/>
    </row>
    <row r="3" spans="1:3" ht="14.25">
      <c r="A3" s="337" t="s">
        <v>290</v>
      </c>
      <c r="C3" s="318"/>
    </row>
    <row r="4" spans="1:3" ht="14.25">
      <c r="A4" s="337" t="s">
        <v>180</v>
      </c>
      <c r="C4" s="318"/>
    </row>
    <row r="5" spans="1:10" ht="14.25">
      <c r="A5" s="10"/>
      <c r="B5" s="310" t="s">
        <v>272</v>
      </c>
      <c r="C5" s="318" t="s">
        <v>273</v>
      </c>
      <c r="D5" s="318"/>
      <c r="E5" s="318"/>
      <c r="F5" s="389"/>
      <c r="G5" s="389"/>
      <c r="H5" s="389"/>
      <c r="I5" s="339"/>
      <c r="J5" s="339"/>
    </row>
    <row r="6" spans="1:10" ht="14.25">
      <c r="A6" s="10"/>
      <c r="B6" s="308" t="s">
        <v>274</v>
      </c>
      <c r="C6" s="340">
        <v>20.12</v>
      </c>
      <c r="I6" s="311"/>
      <c r="J6" s="311"/>
    </row>
    <row r="7" spans="2:10" ht="14.25">
      <c r="B7" s="308" t="s">
        <v>275</v>
      </c>
      <c r="C7" s="340">
        <v>25.81</v>
      </c>
      <c r="I7" s="311"/>
      <c r="J7" s="311"/>
    </row>
    <row r="8" spans="1:10" ht="14.25">
      <c r="A8" s="388"/>
      <c r="B8" s="308" t="s">
        <v>276</v>
      </c>
      <c r="C8" s="319">
        <v>40.18</v>
      </c>
      <c r="I8" s="311"/>
      <c r="J8" s="311"/>
    </row>
    <row r="9" spans="1:10" ht="14.25">
      <c r="A9" s="337"/>
      <c r="C9" s="390"/>
      <c r="I9" s="311"/>
      <c r="J9" s="311"/>
    </row>
    <row r="10" spans="1:10" ht="14.25">
      <c r="A10" s="337"/>
      <c r="B10" s="341" t="s">
        <v>277</v>
      </c>
      <c r="C10" s="325" t="s">
        <v>273</v>
      </c>
      <c r="D10" s="318"/>
      <c r="E10" s="318"/>
      <c r="I10" s="311"/>
      <c r="J10" s="311"/>
    </row>
    <row r="11" spans="1:10" ht="14.25">
      <c r="A11" s="337"/>
      <c r="B11" s="309" t="s">
        <v>278</v>
      </c>
      <c r="C11" s="340">
        <v>20.12</v>
      </c>
      <c r="D11" s="342"/>
      <c r="E11" s="342"/>
      <c r="I11" s="311"/>
      <c r="J11" s="311"/>
    </row>
    <row r="12" spans="1:10" ht="14.25">
      <c r="A12" s="337"/>
      <c r="B12" s="309" t="s">
        <v>279</v>
      </c>
      <c r="C12" s="340">
        <v>40.18</v>
      </c>
      <c r="D12" s="342"/>
      <c r="E12" s="342"/>
      <c r="I12" s="311"/>
      <c r="J12" s="311"/>
    </row>
    <row r="13" spans="1:10" ht="14.25">
      <c r="A13" s="337"/>
      <c r="B13" s="309" t="s">
        <v>280</v>
      </c>
      <c r="C13" s="319">
        <v>78.2</v>
      </c>
      <c r="D13" s="342"/>
      <c r="E13" s="342"/>
      <c r="I13" s="311"/>
      <c r="J13" s="311"/>
    </row>
    <row r="14" spans="1:10" ht="14.25">
      <c r="A14" s="337"/>
      <c r="B14" s="343"/>
      <c r="C14" s="390"/>
      <c r="D14" s="342"/>
      <c r="E14" s="342"/>
      <c r="I14" s="311"/>
      <c r="J14" s="311"/>
    </row>
    <row r="15" spans="1:18" s="312" customFormat="1" ht="14.25">
      <c r="A15" s="337"/>
      <c r="B15" s="310" t="s">
        <v>281</v>
      </c>
      <c r="C15" s="390">
        <v>37.11</v>
      </c>
      <c r="D15" s="317" t="s">
        <v>335</v>
      </c>
      <c r="E15" s="318"/>
      <c r="F15" s="318"/>
      <c r="G15" s="388"/>
      <c r="H15" s="388"/>
      <c r="I15" s="311"/>
      <c r="J15" s="311"/>
      <c r="K15" s="391"/>
      <c r="L15" s="391"/>
      <c r="M15" s="388"/>
      <c r="N15" s="388"/>
      <c r="O15" s="388"/>
      <c r="P15" s="388"/>
      <c r="Q15" s="388"/>
      <c r="R15" s="388"/>
    </row>
    <row r="16" spans="1:18" s="312" customFormat="1" ht="14.25">
      <c r="A16" s="337"/>
      <c r="B16" s="313"/>
      <c r="C16" s="340"/>
      <c r="D16" s="314"/>
      <c r="E16" s="339"/>
      <c r="F16" s="388"/>
      <c r="G16" s="388"/>
      <c r="H16" s="388"/>
      <c r="I16" s="311"/>
      <c r="J16" s="311"/>
      <c r="K16" s="391"/>
      <c r="L16" s="391"/>
      <c r="M16" s="388"/>
      <c r="N16" s="388"/>
      <c r="O16" s="388"/>
      <c r="P16" s="388"/>
      <c r="Q16" s="388"/>
      <c r="R16" s="388"/>
    </row>
    <row r="17" spans="1:18" s="312" customFormat="1" ht="14.25">
      <c r="A17" s="337"/>
      <c r="B17" s="313"/>
      <c r="C17" s="390"/>
      <c r="D17" s="314"/>
      <c r="E17" s="339"/>
      <c r="F17" s="388"/>
      <c r="G17" s="388"/>
      <c r="H17" s="388"/>
      <c r="I17" s="311"/>
      <c r="J17" s="311"/>
      <c r="K17" s="391"/>
      <c r="L17" s="391"/>
      <c r="M17" s="388"/>
      <c r="N17" s="388"/>
      <c r="O17" s="388"/>
      <c r="P17" s="388"/>
      <c r="Q17" s="388"/>
      <c r="R17" s="388"/>
    </row>
    <row r="18" spans="1:18" ht="14.25">
      <c r="A18" s="322" t="s">
        <v>1</v>
      </c>
      <c r="B18" s="313"/>
      <c r="C18" s="344"/>
      <c r="D18" s="345"/>
      <c r="E18" s="346"/>
      <c r="F18" s="312"/>
      <c r="G18" s="312"/>
      <c r="H18" s="385"/>
      <c r="I18" s="311"/>
      <c r="J18" s="311"/>
      <c r="K18" s="315"/>
      <c r="L18" s="315"/>
      <c r="M18" s="312"/>
      <c r="N18" s="312"/>
      <c r="O18" s="312"/>
      <c r="P18" s="312"/>
      <c r="Q18" s="312"/>
      <c r="R18" s="312"/>
    </row>
    <row r="19" spans="1:12" ht="14.25">
      <c r="A19" s="322" t="s">
        <v>188</v>
      </c>
      <c r="B19" s="1"/>
      <c r="C19" s="347"/>
      <c r="E19" s="339"/>
      <c r="F19" s="388"/>
      <c r="G19" s="388"/>
      <c r="H19" s="385"/>
      <c r="I19" s="311"/>
      <c r="J19" s="311"/>
      <c r="K19" s="391"/>
      <c r="L19" s="391"/>
    </row>
    <row r="20" spans="1:12" ht="14.25">
      <c r="A20" s="128">
        <v>42204030</v>
      </c>
      <c r="B20" s="313" t="s">
        <v>220</v>
      </c>
      <c r="C20" s="317" t="s">
        <v>2</v>
      </c>
      <c r="D20" s="317"/>
      <c r="E20" s="317" t="s">
        <v>3</v>
      </c>
      <c r="F20" s="388"/>
      <c r="G20" s="388"/>
      <c r="H20" s="318"/>
      <c r="I20" s="311"/>
      <c r="J20" s="311"/>
      <c r="K20" s="391"/>
      <c r="L20" s="391"/>
    </row>
    <row r="21" spans="1:12" ht="14.25">
      <c r="A21" s="128"/>
      <c r="B21" s="308" t="s">
        <v>189</v>
      </c>
      <c r="C21" s="340">
        <v>3274.6</v>
      </c>
      <c r="D21" s="340"/>
      <c r="E21" s="340">
        <v>3233.01</v>
      </c>
      <c r="F21" s="388"/>
      <c r="G21" s="388"/>
      <c r="H21" s="314"/>
      <c r="I21" s="311"/>
      <c r="J21" s="311"/>
      <c r="K21" s="391"/>
      <c r="L21" s="391"/>
    </row>
    <row r="22" spans="1:12" ht="14.25">
      <c r="A22" s="128"/>
      <c r="B22" s="308" t="s">
        <v>221</v>
      </c>
      <c r="C22" s="340">
        <v>3418.58</v>
      </c>
      <c r="D22" s="340"/>
      <c r="E22" s="340">
        <v>3375.16</v>
      </c>
      <c r="F22" s="388"/>
      <c r="G22" s="388"/>
      <c r="H22" s="314"/>
      <c r="I22" s="311"/>
      <c r="J22" s="311"/>
      <c r="K22" s="391"/>
      <c r="L22" s="391"/>
    </row>
    <row r="23" spans="1:12" ht="14.25">
      <c r="A23" s="128"/>
      <c r="B23" s="320" t="s">
        <v>190</v>
      </c>
      <c r="C23" s="340">
        <v>3674.85</v>
      </c>
      <c r="D23" s="340"/>
      <c r="E23" s="340">
        <v>3628.17</v>
      </c>
      <c r="F23" s="388"/>
      <c r="G23" s="388"/>
      <c r="H23" s="314"/>
      <c r="I23" s="311"/>
      <c r="J23" s="311"/>
      <c r="K23" s="391"/>
      <c r="L23" s="391"/>
    </row>
    <row r="24" spans="2:12" ht="14.25">
      <c r="B24" s="320" t="s">
        <v>191</v>
      </c>
      <c r="C24" s="340">
        <v>3975.02</v>
      </c>
      <c r="D24" s="340"/>
      <c r="E24" s="340">
        <v>3924.54</v>
      </c>
      <c r="F24" s="388"/>
      <c r="G24" s="388"/>
      <c r="H24" s="314"/>
      <c r="I24" s="311"/>
      <c r="J24" s="311"/>
      <c r="K24" s="391"/>
      <c r="L24" s="391"/>
    </row>
    <row r="25" spans="2:12" ht="14.25">
      <c r="B25" s="320" t="s">
        <v>222</v>
      </c>
      <c r="C25" s="340">
        <v>4152.3</v>
      </c>
      <c r="D25" s="340"/>
      <c r="E25" s="340">
        <v>4099.57</v>
      </c>
      <c r="F25" s="388"/>
      <c r="G25" s="388"/>
      <c r="H25" s="314"/>
      <c r="I25" s="311"/>
      <c r="J25" s="311"/>
      <c r="K25" s="391"/>
      <c r="L25" s="391"/>
    </row>
    <row r="26" spans="2:12" ht="14.25">
      <c r="B26" s="324"/>
      <c r="C26" s="390"/>
      <c r="D26" s="390"/>
      <c r="E26" s="390"/>
      <c r="F26" s="388"/>
      <c r="G26" s="388"/>
      <c r="H26" s="314"/>
      <c r="I26" s="311"/>
      <c r="J26" s="311"/>
      <c r="K26" s="391"/>
      <c r="L26" s="391"/>
    </row>
    <row r="27" spans="1:15" ht="14.25">
      <c r="A27" s="322" t="s">
        <v>291</v>
      </c>
      <c r="B27" s="349"/>
      <c r="C27" s="347"/>
      <c r="D27" s="347"/>
      <c r="E27" s="347"/>
      <c r="F27" s="392"/>
      <c r="G27" s="388"/>
      <c r="H27" s="391"/>
      <c r="I27" s="311"/>
      <c r="J27" s="311"/>
      <c r="K27" s="391"/>
      <c r="L27" s="391"/>
      <c r="O27" s="314"/>
    </row>
    <row r="28" spans="1:12" ht="14.25">
      <c r="A28" s="322" t="s">
        <v>223</v>
      </c>
      <c r="B28" s="349"/>
      <c r="C28" s="317" t="s">
        <v>2</v>
      </c>
      <c r="D28" s="317"/>
      <c r="E28" s="317" t="s">
        <v>3</v>
      </c>
      <c r="F28" s="314"/>
      <c r="G28" s="388"/>
      <c r="H28" s="391"/>
      <c r="I28" s="311"/>
      <c r="J28" s="311"/>
      <c r="K28" s="391"/>
      <c r="L28" s="391"/>
    </row>
    <row r="29" spans="1:12" ht="14.25">
      <c r="A29" s="128">
        <v>40901024</v>
      </c>
      <c r="B29" s="320" t="s">
        <v>181</v>
      </c>
      <c r="C29" s="340">
        <v>4015.74</v>
      </c>
      <c r="D29" s="340"/>
      <c r="E29" s="340">
        <v>3958.19</v>
      </c>
      <c r="G29" s="388"/>
      <c r="H29" s="314"/>
      <c r="I29" s="311"/>
      <c r="J29" s="311"/>
      <c r="K29" s="391"/>
      <c r="L29" s="391"/>
    </row>
    <row r="30" spans="1:12" ht="14.25">
      <c r="A30" s="128">
        <v>40003001</v>
      </c>
      <c r="B30" s="320" t="s">
        <v>182</v>
      </c>
      <c r="C30" s="340">
        <v>3813.44</v>
      </c>
      <c r="D30" s="340"/>
      <c r="E30" s="340">
        <v>3758.69</v>
      </c>
      <c r="G30" s="388"/>
      <c r="H30" s="314"/>
      <c r="I30" s="311"/>
      <c r="J30" s="311"/>
      <c r="K30" s="391"/>
      <c r="L30" s="391"/>
    </row>
    <row r="31" spans="1:12" ht="14.25">
      <c r="A31" s="128">
        <v>40003002</v>
      </c>
      <c r="B31" s="320" t="s">
        <v>139</v>
      </c>
      <c r="C31" s="340">
        <v>3681.51</v>
      </c>
      <c r="D31" s="340"/>
      <c r="E31" s="340">
        <v>3628.3</v>
      </c>
      <c r="G31" s="388"/>
      <c r="H31" s="314"/>
      <c r="I31" s="311"/>
      <c r="J31" s="311"/>
      <c r="K31" s="391"/>
      <c r="L31" s="391"/>
    </row>
    <row r="32" spans="1:14" ht="14.25">
      <c r="A32" s="128">
        <v>42004003</v>
      </c>
      <c r="B32" s="313" t="s">
        <v>336</v>
      </c>
      <c r="C32" s="329">
        <v>2919.47</v>
      </c>
      <c r="D32" s="329"/>
      <c r="E32" s="329">
        <v>2878.06</v>
      </c>
      <c r="I32" s="311"/>
      <c r="J32" s="311"/>
      <c r="M32" s="391"/>
      <c r="N32" s="391"/>
    </row>
    <row r="33" spans="1:14" ht="14.25">
      <c r="A33" s="353"/>
      <c r="B33" s="313"/>
      <c r="C33" s="329"/>
      <c r="D33" s="329"/>
      <c r="E33" s="329"/>
      <c r="I33" s="311"/>
      <c r="J33" s="311"/>
      <c r="M33" s="391"/>
      <c r="N33" s="391"/>
    </row>
    <row r="34" spans="1:14" ht="14.25">
      <c r="A34" s="322" t="s">
        <v>292</v>
      </c>
      <c r="B34" s="313"/>
      <c r="C34" s="329"/>
      <c r="D34" s="329"/>
      <c r="E34" s="329"/>
      <c r="I34" s="311"/>
      <c r="J34" s="311"/>
      <c r="M34" s="391"/>
      <c r="N34" s="391"/>
    </row>
    <row r="35" spans="1:14" ht="15" customHeight="1">
      <c r="A35" s="337" t="s">
        <v>293</v>
      </c>
      <c r="B35" s="313"/>
      <c r="C35" s="386"/>
      <c r="D35" s="386"/>
      <c r="E35" s="386"/>
      <c r="I35" s="311"/>
      <c r="J35" s="311"/>
      <c r="K35" s="393"/>
      <c r="L35" s="393"/>
      <c r="M35" s="393"/>
      <c r="N35" s="393"/>
    </row>
    <row r="36" spans="1:14" ht="15" customHeight="1">
      <c r="A36" s="128">
        <v>41103003</v>
      </c>
      <c r="B36" s="321" t="s">
        <v>183</v>
      </c>
      <c r="C36" s="330" t="s">
        <v>2</v>
      </c>
      <c r="D36" s="394"/>
      <c r="E36" s="330" t="s">
        <v>3</v>
      </c>
      <c r="I36" s="311"/>
      <c r="J36" s="311"/>
      <c r="K36" s="395"/>
      <c r="L36" s="395"/>
      <c r="M36" s="395"/>
      <c r="N36" s="395"/>
    </row>
    <row r="37" spans="1:18" ht="15" customHeight="1">
      <c r="A37" s="128"/>
      <c r="B37" s="321" t="s">
        <v>95</v>
      </c>
      <c r="C37" s="340">
        <v>3253.34</v>
      </c>
      <c r="D37" s="340"/>
      <c r="E37" s="340">
        <v>3206.53</v>
      </c>
      <c r="F37" s="386"/>
      <c r="G37" s="340">
        <v>3253.34</v>
      </c>
      <c r="H37" s="340">
        <v>3318.42</v>
      </c>
      <c r="I37" s="340">
        <v>3417.98</v>
      </c>
      <c r="J37" s="340">
        <v>3588.86</v>
      </c>
      <c r="K37" s="340">
        <v>3868.8</v>
      </c>
      <c r="L37" s="340">
        <v>4023.56</v>
      </c>
      <c r="M37" s="340">
        <v>3206.53</v>
      </c>
      <c r="N37" s="340">
        <v>3270.68</v>
      </c>
      <c r="O37" s="340">
        <v>3368.79</v>
      </c>
      <c r="P37" s="340">
        <v>3537.22</v>
      </c>
      <c r="Q37" s="340">
        <v>3813.13</v>
      </c>
      <c r="R37" s="340">
        <v>3965.66</v>
      </c>
    </row>
    <row r="38" spans="1:18" ht="15" customHeight="1">
      <c r="A38" s="128"/>
      <c r="B38" s="324" t="s">
        <v>46</v>
      </c>
      <c r="C38" s="340">
        <v>3318.42</v>
      </c>
      <c r="D38" s="340"/>
      <c r="E38" s="340">
        <v>3270.68</v>
      </c>
      <c r="F38" s="386"/>
      <c r="G38" s="340">
        <v>3159.77</v>
      </c>
      <c r="H38" s="340">
        <v>3222.97</v>
      </c>
      <c r="I38" s="340">
        <v>3319.66</v>
      </c>
      <c r="J38" s="340">
        <v>3485.65</v>
      </c>
      <c r="K38" s="340">
        <v>3757.52</v>
      </c>
      <c r="L38" s="340">
        <v>3907.82</v>
      </c>
      <c r="M38" s="340">
        <v>3114.5</v>
      </c>
      <c r="N38" s="340">
        <v>3176.8</v>
      </c>
      <c r="O38" s="340">
        <v>3272.09</v>
      </c>
      <c r="P38" s="340">
        <v>3435.7</v>
      </c>
      <c r="Q38" s="340">
        <v>3703.68</v>
      </c>
      <c r="R38" s="340">
        <v>3851.83</v>
      </c>
    </row>
    <row r="39" spans="1:18" ht="15" customHeight="1">
      <c r="A39" s="128"/>
      <c r="B39" s="320" t="s">
        <v>47</v>
      </c>
      <c r="C39" s="340">
        <v>3417.98</v>
      </c>
      <c r="D39" s="340"/>
      <c r="E39" s="340">
        <v>3368.79</v>
      </c>
      <c r="F39" s="386"/>
      <c r="G39" s="340">
        <v>3498.1</v>
      </c>
      <c r="H39" s="340">
        <v>3691.6</v>
      </c>
      <c r="I39" s="340">
        <v>3828.33</v>
      </c>
      <c r="J39" s="340">
        <v>4041.64</v>
      </c>
      <c r="K39" s="340">
        <v>4267.75</v>
      </c>
      <c r="L39" s="340">
        <v>4507.43</v>
      </c>
      <c r="M39" s="340">
        <v>3451.7</v>
      </c>
      <c r="N39" s="340">
        <v>3642.45</v>
      </c>
      <c r="O39" s="340">
        <v>3777.25</v>
      </c>
      <c r="P39" s="340">
        <v>3987.53</v>
      </c>
      <c r="Q39" s="340">
        <v>4210.44</v>
      </c>
      <c r="R39" s="340">
        <v>4446.71</v>
      </c>
    </row>
    <row r="40" spans="1:18" ht="15" customHeight="1">
      <c r="A40" s="128"/>
      <c r="B40" s="321" t="s">
        <v>48</v>
      </c>
      <c r="C40" s="340">
        <v>3588.86</v>
      </c>
      <c r="D40" s="340"/>
      <c r="E40" s="340">
        <v>3537.22</v>
      </c>
      <c r="F40" s="386"/>
      <c r="G40" s="340">
        <v>3152.19</v>
      </c>
      <c r="H40" s="340">
        <v>3326.55</v>
      </c>
      <c r="I40" s="340">
        <v>3449.76</v>
      </c>
      <c r="J40" s="340">
        <v>3641.99</v>
      </c>
      <c r="K40" s="340">
        <v>3845.74</v>
      </c>
      <c r="L40" s="340">
        <v>4061.72</v>
      </c>
      <c r="M40" s="340">
        <v>3110.39</v>
      </c>
      <c r="N40" s="340">
        <v>3282.28</v>
      </c>
      <c r="O40" s="340">
        <v>3403.75</v>
      </c>
      <c r="P40" s="340">
        <v>3593.23</v>
      </c>
      <c r="Q40" s="340">
        <v>3794.11</v>
      </c>
      <c r="R40" s="340">
        <v>4007.01</v>
      </c>
    </row>
    <row r="41" spans="1:18" ht="15" customHeight="1">
      <c r="A41" s="128"/>
      <c r="B41" s="324" t="s">
        <v>49</v>
      </c>
      <c r="C41" s="340">
        <v>3868.8</v>
      </c>
      <c r="D41" s="340"/>
      <c r="E41" s="340">
        <v>3813.13</v>
      </c>
      <c r="F41" s="386"/>
      <c r="G41" s="340">
        <v>2844.44</v>
      </c>
      <c r="H41" s="340">
        <v>3001.77</v>
      </c>
      <c r="I41" s="340">
        <v>3112.97</v>
      </c>
      <c r="J41" s="340">
        <v>3286.43</v>
      </c>
      <c r="K41" s="340">
        <v>3470.28</v>
      </c>
      <c r="L41" s="340">
        <v>3665.17</v>
      </c>
      <c r="M41" s="340">
        <v>2806.76</v>
      </c>
      <c r="N41" s="340">
        <v>2961.88</v>
      </c>
      <c r="O41" s="340">
        <v>3071.48</v>
      </c>
      <c r="P41" s="340">
        <v>3242.49</v>
      </c>
      <c r="Q41" s="340">
        <v>3423.73</v>
      </c>
      <c r="R41" s="340">
        <v>3615.86</v>
      </c>
    </row>
    <row r="42" spans="1:18" ht="15" customHeight="1">
      <c r="A42" s="128"/>
      <c r="B42" s="320" t="s">
        <v>50</v>
      </c>
      <c r="C42" s="340">
        <v>4023.56</v>
      </c>
      <c r="D42" s="340"/>
      <c r="E42" s="340">
        <v>3965.66</v>
      </c>
      <c r="F42" s="386"/>
      <c r="G42" s="340">
        <v>2801.84</v>
      </c>
      <c r="H42" s="340">
        <v>2956.83</v>
      </c>
      <c r="I42" s="340">
        <v>3066.36</v>
      </c>
      <c r="J42" s="340">
        <v>3237.21</v>
      </c>
      <c r="K42" s="340">
        <v>3418.32</v>
      </c>
      <c r="L42" s="340">
        <v>3610.31</v>
      </c>
      <c r="M42" s="340">
        <v>2765.08</v>
      </c>
      <c r="N42" s="340">
        <v>2917.89</v>
      </c>
      <c r="O42" s="340">
        <v>3025.87</v>
      </c>
      <c r="P42" s="340">
        <v>3194.32</v>
      </c>
      <c r="Q42" s="340">
        <v>3372.88</v>
      </c>
      <c r="R42" s="340">
        <v>3562.16</v>
      </c>
    </row>
    <row r="43" spans="1:18" ht="15" customHeight="1">
      <c r="A43" s="128">
        <v>41103004</v>
      </c>
      <c r="B43" s="320" t="s">
        <v>140</v>
      </c>
      <c r="C43" s="329"/>
      <c r="D43" s="319"/>
      <c r="E43" s="329"/>
      <c r="G43" s="386">
        <v>3498.1</v>
      </c>
      <c r="H43" s="386">
        <v>3691.6</v>
      </c>
      <c r="I43" s="311">
        <v>3828.33</v>
      </c>
      <c r="J43" s="311">
        <v>4041.64</v>
      </c>
      <c r="K43" s="395">
        <v>4267.75</v>
      </c>
      <c r="L43" s="395">
        <v>4507.43</v>
      </c>
      <c r="M43" s="395">
        <v>3451.7</v>
      </c>
      <c r="N43" s="395">
        <v>3642.45</v>
      </c>
      <c r="O43">
        <v>3777.25</v>
      </c>
      <c r="P43">
        <v>3987.53</v>
      </c>
      <c r="Q43">
        <v>4210.44</v>
      </c>
      <c r="R43">
        <v>4446.71</v>
      </c>
    </row>
    <row r="44" spans="1:18" ht="15" customHeight="1">
      <c r="A44" s="128"/>
      <c r="B44" s="321" t="s">
        <v>95</v>
      </c>
      <c r="C44" s="340">
        <v>3159.77</v>
      </c>
      <c r="D44" s="340"/>
      <c r="E44" s="340">
        <v>3114.5</v>
      </c>
      <c r="F44" s="386"/>
      <c r="G44" s="396">
        <v>3152.19</v>
      </c>
      <c r="H44" s="396">
        <v>3326.55</v>
      </c>
      <c r="I44" s="311">
        <v>3449.76</v>
      </c>
      <c r="J44" s="311">
        <v>3641.99</v>
      </c>
      <c r="K44" s="395">
        <v>3845.74</v>
      </c>
      <c r="L44" s="395">
        <v>4061.72</v>
      </c>
      <c r="M44" s="395">
        <v>3110.39</v>
      </c>
      <c r="N44" s="395">
        <v>3282.28</v>
      </c>
      <c r="O44">
        <v>3403.75</v>
      </c>
      <c r="P44">
        <v>3593.23</v>
      </c>
      <c r="Q44">
        <v>3794.11</v>
      </c>
      <c r="R44">
        <v>4007.01</v>
      </c>
    </row>
    <row r="45" spans="1:18" ht="15" customHeight="1">
      <c r="A45" s="128"/>
      <c r="B45" s="354" t="s">
        <v>46</v>
      </c>
      <c r="C45" s="340">
        <v>3222.97</v>
      </c>
      <c r="D45" s="340"/>
      <c r="E45" s="340">
        <v>3176.8</v>
      </c>
      <c r="F45" s="386"/>
      <c r="G45" s="386">
        <v>2844.44</v>
      </c>
      <c r="H45" s="386">
        <v>3001.77</v>
      </c>
      <c r="I45" s="311">
        <v>3112.97</v>
      </c>
      <c r="J45" s="311">
        <v>3286.43</v>
      </c>
      <c r="K45" s="395">
        <v>3470.28</v>
      </c>
      <c r="L45" s="395">
        <v>3665.17</v>
      </c>
      <c r="M45" s="395">
        <v>2806.76</v>
      </c>
      <c r="N45" s="395">
        <v>2961.88</v>
      </c>
      <c r="O45">
        <v>3071.48</v>
      </c>
      <c r="P45">
        <v>3242.49</v>
      </c>
      <c r="Q45">
        <v>3423.73</v>
      </c>
      <c r="R45">
        <v>3615.86</v>
      </c>
    </row>
    <row r="46" spans="1:18" ht="15" customHeight="1">
      <c r="A46" s="128"/>
      <c r="B46" s="320" t="s">
        <v>47</v>
      </c>
      <c r="C46" s="340">
        <v>3319.66</v>
      </c>
      <c r="D46" s="340"/>
      <c r="E46" s="340">
        <v>3272.09</v>
      </c>
      <c r="F46" s="386"/>
      <c r="G46" s="386">
        <v>2801.84</v>
      </c>
      <c r="H46" s="386">
        <v>2956.83</v>
      </c>
      <c r="I46" s="311">
        <v>3066.36</v>
      </c>
      <c r="J46" s="311">
        <v>3237.21</v>
      </c>
      <c r="K46" s="395">
        <v>3418.32</v>
      </c>
      <c r="L46" s="395">
        <v>3610.31</v>
      </c>
      <c r="M46" s="395">
        <v>2765.08</v>
      </c>
      <c r="N46" s="395">
        <v>2917.89</v>
      </c>
      <c r="O46">
        <v>3025.87</v>
      </c>
      <c r="P46">
        <v>3194.32</v>
      </c>
      <c r="Q46">
        <v>3372.88</v>
      </c>
      <c r="R46">
        <v>3562.16</v>
      </c>
    </row>
    <row r="47" spans="1:14" ht="15" customHeight="1">
      <c r="A47" s="128"/>
      <c r="B47" s="324" t="s">
        <v>48</v>
      </c>
      <c r="C47" s="340">
        <v>3485.65</v>
      </c>
      <c r="D47" s="340"/>
      <c r="E47" s="340">
        <v>3435.7</v>
      </c>
      <c r="I47" s="311"/>
      <c r="J47" s="311"/>
      <c r="K47" s="395"/>
      <c r="L47" s="395"/>
      <c r="M47" s="395"/>
      <c r="N47" s="395"/>
    </row>
    <row r="48" spans="1:14" ht="15" customHeight="1">
      <c r="A48" s="128"/>
      <c r="B48" s="354" t="s">
        <v>49</v>
      </c>
      <c r="C48" s="340">
        <v>3757.52</v>
      </c>
      <c r="D48" s="340"/>
      <c r="E48" s="340">
        <v>3703.68</v>
      </c>
      <c r="I48" s="311"/>
      <c r="J48" s="311"/>
      <c r="K48" s="395"/>
      <c r="L48" s="395"/>
      <c r="M48" s="395"/>
      <c r="N48" s="395"/>
    </row>
    <row r="49" spans="1:14" ht="15" customHeight="1">
      <c r="A49" s="128"/>
      <c r="B49" s="320" t="s">
        <v>50</v>
      </c>
      <c r="C49" s="340">
        <v>3907.82</v>
      </c>
      <c r="D49" s="340"/>
      <c r="E49" s="340">
        <v>3851.83</v>
      </c>
      <c r="I49" s="311"/>
      <c r="J49" s="311"/>
      <c r="K49" s="395"/>
      <c r="L49" s="395"/>
      <c r="M49" s="395"/>
      <c r="N49" s="395"/>
    </row>
    <row r="50" spans="1:14" ht="15" customHeight="1">
      <c r="A50" s="128">
        <v>41104001</v>
      </c>
      <c r="B50" s="320" t="s">
        <v>184</v>
      </c>
      <c r="C50" s="329"/>
      <c r="D50" s="340"/>
      <c r="E50" s="329"/>
      <c r="I50" s="311"/>
      <c r="J50" s="311"/>
      <c r="K50" s="393"/>
      <c r="N50" s="393"/>
    </row>
    <row r="51" spans="1:14" ht="15" customHeight="1">
      <c r="A51" s="128">
        <v>41107001</v>
      </c>
      <c r="B51" s="320" t="s">
        <v>282</v>
      </c>
      <c r="C51" s="329"/>
      <c r="D51" s="325"/>
      <c r="E51" s="329"/>
      <c r="I51" s="311"/>
      <c r="J51" s="311"/>
      <c r="K51" s="393"/>
      <c r="N51" s="393"/>
    </row>
    <row r="52" spans="1:14" ht="15" customHeight="1">
      <c r="A52" s="128"/>
      <c r="B52" s="355" t="s">
        <v>95</v>
      </c>
      <c r="C52" s="340">
        <v>3498.1</v>
      </c>
      <c r="D52" s="340"/>
      <c r="E52" s="340">
        <v>3451.7</v>
      </c>
      <c r="H52" s="387"/>
      <c r="I52" s="311"/>
      <c r="J52" s="311"/>
      <c r="K52" s="393"/>
      <c r="N52" s="393"/>
    </row>
    <row r="53" spans="1:14" ht="15" customHeight="1">
      <c r="A53" s="128"/>
      <c r="B53" s="355" t="s">
        <v>46</v>
      </c>
      <c r="C53" s="340">
        <v>3691.6</v>
      </c>
      <c r="D53" s="340"/>
      <c r="E53" s="340">
        <v>3642.45</v>
      </c>
      <c r="H53" s="387"/>
      <c r="I53" s="311"/>
      <c r="J53" s="311"/>
      <c r="K53" s="393"/>
      <c r="N53" s="393"/>
    </row>
    <row r="54" spans="1:14" ht="15" customHeight="1">
      <c r="A54" s="128"/>
      <c r="B54" s="355" t="s">
        <v>47</v>
      </c>
      <c r="C54" s="340">
        <v>3828.33</v>
      </c>
      <c r="D54" s="340"/>
      <c r="E54" s="340">
        <v>3777.25</v>
      </c>
      <c r="H54" s="387"/>
      <c r="I54" s="311"/>
      <c r="J54" s="311"/>
      <c r="K54" s="393"/>
      <c r="N54" s="393"/>
    </row>
    <row r="55" spans="1:14" ht="15" customHeight="1">
      <c r="A55" s="128"/>
      <c r="B55" s="355" t="s">
        <v>48</v>
      </c>
      <c r="C55" s="340">
        <v>4041.64</v>
      </c>
      <c r="D55" s="340"/>
      <c r="E55" s="340">
        <v>3987.53</v>
      </c>
      <c r="H55" s="387"/>
      <c r="I55" s="311"/>
      <c r="J55" s="311"/>
      <c r="K55" s="393"/>
      <c r="N55" s="393"/>
    </row>
    <row r="56" spans="1:14" ht="15" customHeight="1">
      <c r="A56" s="128"/>
      <c r="B56" s="355" t="s">
        <v>49</v>
      </c>
      <c r="C56" s="340">
        <v>4267.75</v>
      </c>
      <c r="D56" s="340"/>
      <c r="E56" s="340">
        <v>4210.44</v>
      </c>
      <c r="H56" s="387"/>
      <c r="I56" s="311"/>
      <c r="J56" s="311"/>
      <c r="K56" s="393"/>
      <c r="N56" s="393"/>
    </row>
    <row r="57" spans="1:14" ht="15" customHeight="1">
      <c r="A57" s="128"/>
      <c r="B57" s="355" t="s">
        <v>50</v>
      </c>
      <c r="C57" s="340">
        <v>4507.43</v>
      </c>
      <c r="D57" s="340"/>
      <c r="E57" s="340">
        <v>4446.71</v>
      </c>
      <c r="H57" s="387"/>
      <c r="I57" s="311"/>
      <c r="J57" s="311"/>
      <c r="K57" s="393"/>
      <c r="L57" s="393"/>
      <c r="M57" s="393"/>
      <c r="N57" s="393"/>
    </row>
    <row r="58" spans="1:14" ht="15" customHeight="1">
      <c r="A58" s="128">
        <v>41104002</v>
      </c>
      <c r="B58" s="320" t="s">
        <v>294</v>
      </c>
      <c r="C58" s="329"/>
      <c r="D58" s="340"/>
      <c r="E58" s="329"/>
      <c r="H58" s="387"/>
      <c r="I58" s="311"/>
      <c r="J58" s="311"/>
      <c r="K58" s="393"/>
      <c r="L58" s="393"/>
      <c r="M58" s="393"/>
      <c r="N58" s="393"/>
    </row>
    <row r="59" spans="1:14" ht="15" customHeight="1">
      <c r="A59" s="128">
        <v>41107002</v>
      </c>
      <c r="B59" s="320" t="s">
        <v>304</v>
      </c>
      <c r="C59" s="329"/>
      <c r="D59" s="325"/>
      <c r="E59" s="329"/>
      <c r="H59" s="387"/>
      <c r="I59" s="311"/>
      <c r="J59" s="311"/>
      <c r="K59" s="393"/>
      <c r="L59" s="393"/>
      <c r="M59" s="393"/>
      <c r="N59" s="393"/>
    </row>
    <row r="60" spans="1:14" ht="15" customHeight="1">
      <c r="A60" s="128"/>
      <c r="B60" s="355" t="s">
        <v>95</v>
      </c>
      <c r="C60" s="340">
        <v>3152.19</v>
      </c>
      <c r="D60" s="340"/>
      <c r="E60" s="340">
        <v>3110.39</v>
      </c>
      <c r="H60" s="387"/>
      <c r="I60" s="311"/>
      <c r="J60" s="311"/>
      <c r="K60" s="393"/>
      <c r="L60" s="393"/>
      <c r="M60" s="393"/>
      <c r="N60" s="393"/>
    </row>
    <row r="61" spans="1:14" ht="15" customHeight="1">
      <c r="A61" s="128"/>
      <c r="B61" s="355" t="s">
        <v>46</v>
      </c>
      <c r="C61" s="340">
        <v>3326.55</v>
      </c>
      <c r="D61" s="340"/>
      <c r="E61" s="340">
        <v>3282.28</v>
      </c>
      <c r="H61" s="387"/>
      <c r="I61" s="311"/>
      <c r="J61" s="311"/>
      <c r="K61" s="393"/>
      <c r="L61" s="393"/>
      <c r="M61" s="393"/>
      <c r="N61" s="393"/>
    </row>
    <row r="62" spans="1:14" ht="15" customHeight="1">
      <c r="A62" s="128"/>
      <c r="B62" s="355" t="s">
        <v>47</v>
      </c>
      <c r="C62" s="340">
        <v>3449.76</v>
      </c>
      <c r="D62" s="340"/>
      <c r="E62" s="340">
        <v>3403.75</v>
      </c>
      <c r="H62" s="387"/>
      <c r="I62" s="311"/>
      <c r="J62" s="311"/>
      <c r="K62" s="393"/>
      <c r="L62" s="393"/>
      <c r="M62" s="393"/>
      <c r="N62" s="393"/>
    </row>
    <row r="63" spans="1:14" ht="15" customHeight="1">
      <c r="A63" s="128"/>
      <c r="B63" s="355" t="s">
        <v>48</v>
      </c>
      <c r="C63" s="340">
        <v>3641.99</v>
      </c>
      <c r="D63" s="340"/>
      <c r="E63" s="340">
        <v>3593.23</v>
      </c>
      <c r="H63" s="387"/>
      <c r="I63" s="311"/>
      <c r="J63" s="311"/>
      <c r="K63" s="393"/>
      <c r="L63" s="393"/>
      <c r="M63" s="393"/>
      <c r="N63" s="393"/>
    </row>
    <row r="64" spans="1:14" ht="15" customHeight="1">
      <c r="A64" s="128"/>
      <c r="B64" s="355" t="s">
        <v>49</v>
      </c>
      <c r="C64" s="340">
        <v>3845.74</v>
      </c>
      <c r="D64" s="340"/>
      <c r="E64" s="340">
        <v>3794.11</v>
      </c>
      <c r="H64" s="387"/>
      <c r="I64" s="311"/>
      <c r="J64" s="311"/>
      <c r="K64" s="393"/>
      <c r="L64" s="393"/>
      <c r="M64" s="393"/>
      <c r="N64" s="393"/>
    </row>
    <row r="65" spans="1:14" ht="15" customHeight="1">
      <c r="A65" s="128"/>
      <c r="B65" s="355" t="s">
        <v>50</v>
      </c>
      <c r="C65" s="340">
        <v>4061.72</v>
      </c>
      <c r="D65" s="340"/>
      <c r="E65" s="340">
        <v>4007.01</v>
      </c>
      <c r="H65" s="387"/>
      <c r="I65" s="311"/>
      <c r="J65" s="311"/>
      <c r="K65" s="393"/>
      <c r="L65" s="393"/>
      <c r="M65" s="393"/>
      <c r="N65" s="393"/>
    </row>
    <row r="66" spans="1:14" ht="15" customHeight="1">
      <c r="A66" s="128">
        <v>41104003</v>
      </c>
      <c r="B66" s="320" t="s">
        <v>295</v>
      </c>
      <c r="C66" s="329"/>
      <c r="D66" s="390"/>
      <c r="E66" s="329"/>
      <c r="H66" s="387"/>
      <c r="I66" s="311"/>
      <c r="J66" s="311"/>
      <c r="K66" s="393"/>
      <c r="L66" s="393"/>
      <c r="M66" s="393"/>
      <c r="N66" s="393"/>
    </row>
    <row r="67" spans="1:14" ht="15" customHeight="1">
      <c r="A67" s="128">
        <v>41107003</v>
      </c>
      <c r="B67" s="320" t="s">
        <v>305</v>
      </c>
      <c r="C67" s="330"/>
      <c r="D67" s="325"/>
      <c r="E67" s="330"/>
      <c r="H67" s="387"/>
      <c r="I67" s="311"/>
      <c r="J67" s="311"/>
      <c r="K67" s="393"/>
      <c r="L67" s="393"/>
      <c r="M67" s="393"/>
      <c r="N67" s="393"/>
    </row>
    <row r="68" spans="1:14" ht="15" customHeight="1">
      <c r="A68" s="128"/>
      <c r="B68" s="356" t="s">
        <v>95</v>
      </c>
      <c r="C68" s="340">
        <v>2844.44</v>
      </c>
      <c r="D68" s="340"/>
      <c r="E68" s="340">
        <v>2806.76</v>
      </c>
      <c r="H68" s="387"/>
      <c r="I68" s="311"/>
      <c r="J68" s="311"/>
      <c r="K68" s="393"/>
      <c r="L68" s="393"/>
      <c r="M68" s="393"/>
      <c r="N68" s="393"/>
    </row>
    <row r="69" spans="1:14" ht="15" customHeight="1">
      <c r="A69" s="128"/>
      <c r="B69" s="355" t="s">
        <v>46</v>
      </c>
      <c r="C69" s="340">
        <v>3001.77</v>
      </c>
      <c r="D69" s="340"/>
      <c r="E69" s="340">
        <v>2961.88</v>
      </c>
      <c r="H69" s="387"/>
      <c r="I69" s="311"/>
      <c r="J69" s="311"/>
      <c r="K69" s="393"/>
      <c r="L69" s="393"/>
      <c r="M69" s="393"/>
      <c r="N69" s="393"/>
    </row>
    <row r="70" spans="1:14" ht="15" customHeight="1">
      <c r="A70" s="128"/>
      <c r="B70" s="355" t="s">
        <v>47</v>
      </c>
      <c r="C70" s="340">
        <v>3112.97</v>
      </c>
      <c r="D70" s="340"/>
      <c r="E70" s="340">
        <v>3071.48</v>
      </c>
      <c r="H70" s="387"/>
      <c r="I70" s="311"/>
      <c r="J70" s="311"/>
      <c r="K70" s="393"/>
      <c r="L70" s="393"/>
      <c r="M70" s="393"/>
      <c r="N70" s="393"/>
    </row>
    <row r="71" spans="1:14" ht="15" customHeight="1">
      <c r="A71" s="128"/>
      <c r="B71" s="355" t="s">
        <v>48</v>
      </c>
      <c r="C71" s="340">
        <v>3286.43</v>
      </c>
      <c r="D71" s="340"/>
      <c r="E71" s="340">
        <v>3242.49</v>
      </c>
      <c r="H71" s="387"/>
      <c r="I71" s="311"/>
      <c r="J71" s="311"/>
      <c r="K71" s="393"/>
      <c r="L71" s="393"/>
      <c r="M71" s="393"/>
      <c r="N71" s="393"/>
    </row>
    <row r="72" spans="1:14" ht="15" customHeight="1">
      <c r="A72" s="128"/>
      <c r="B72" s="355" t="s">
        <v>49</v>
      </c>
      <c r="C72" s="340">
        <v>3470.28</v>
      </c>
      <c r="D72" s="340"/>
      <c r="E72" s="340">
        <v>3423.73</v>
      </c>
      <c r="H72" s="387"/>
      <c r="I72" s="311"/>
      <c r="J72" s="311"/>
      <c r="K72" s="393"/>
      <c r="L72" s="393"/>
      <c r="M72" s="393"/>
      <c r="N72" s="393"/>
    </row>
    <row r="73" spans="1:14" ht="15" customHeight="1">
      <c r="A73" s="128"/>
      <c r="B73" s="355" t="s">
        <v>50</v>
      </c>
      <c r="C73" s="340">
        <v>3665.17</v>
      </c>
      <c r="D73" s="340"/>
      <c r="E73" s="340">
        <v>3615.86</v>
      </c>
      <c r="H73" s="387"/>
      <c r="I73" s="311"/>
      <c r="J73" s="311"/>
      <c r="K73" s="393"/>
      <c r="L73" s="393"/>
      <c r="M73" s="393"/>
      <c r="N73" s="393"/>
    </row>
    <row r="74" spans="1:14" ht="15" customHeight="1">
      <c r="A74" s="128">
        <v>41104004</v>
      </c>
      <c r="B74" s="320" t="s">
        <v>296</v>
      </c>
      <c r="C74" s="329"/>
      <c r="D74" s="340"/>
      <c r="E74" s="329"/>
      <c r="H74" s="387"/>
      <c r="I74" s="311"/>
      <c r="J74" s="311"/>
      <c r="K74" s="393"/>
      <c r="L74" s="393"/>
      <c r="M74" s="393"/>
      <c r="N74" s="393"/>
    </row>
    <row r="75" spans="1:14" ht="15" customHeight="1">
      <c r="A75" s="128">
        <v>41107004</v>
      </c>
      <c r="B75" s="320" t="s">
        <v>297</v>
      </c>
      <c r="C75" s="329"/>
      <c r="D75" s="325"/>
      <c r="E75" s="329"/>
      <c r="H75" s="387"/>
      <c r="I75" s="311"/>
      <c r="J75" s="311"/>
      <c r="K75" s="393"/>
      <c r="L75" s="393"/>
      <c r="M75" s="393"/>
      <c r="N75" s="393"/>
    </row>
    <row r="76" spans="1:14" ht="15" customHeight="1">
      <c r="A76" s="128"/>
      <c r="B76" s="355" t="s">
        <v>95</v>
      </c>
      <c r="C76" s="340">
        <v>2801.84</v>
      </c>
      <c r="D76" s="340"/>
      <c r="E76" s="340">
        <v>2765.08</v>
      </c>
      <c r="H76" s="387"/>
      <c r="I76" s="311"/>
      <c r="J76" s="311"/>
      <c r="K76" s="393"/>
      <c r="L76" s="393"/>
      <c r="M76" s="393"/>
      <c r="N76" s="393"/>
    </row>
    <row r="77" spans="1:14" ht="15" customHeight="1">
      <c r="A77" s="128"/>
      <c r="B77" s="355" t="s">
        <v>46</v>
      </c>
      <c r="C77" s="340">
        <v>2956.83</v>
      </c>
      <c r="D77" s="340"/>
      <c r="E77" s="340">
        <v>2917.89</v>
      </c>
      <c r="H77" s="387"/>
      <c r="I77" s="311"/>
      <c r="J77" s="311"/>
      <c r="K77" s="393"/>
      <c r="L77" s="393"/>
      <c r="M77" s="393"/>
      <c r="N77" s="393"/>
    </row>
    <row r="78" spans="1:14" ht="15" customHeight="1">
      <c r="A78" s="128"/>
      <c r="B78" s="355" t="s">
        <v>47</v>
      </c>
      <c r="C78" s="340">
        <v>3066.36</v>
      </c>
      <c r="D78" s="340"/>
      <c r="E78" s="340">
        <v>3025.87</v>
      </c>
      <c r="H78" s="387"/>
      <c r="I78" s="311"/>
      <c r="J78" s="311"/>
      <c r="K78" s="393"/>
      <c r="L78" s="393"/>
      <c r="M78" s="393"/>
      <c r="N78" s="393"/>
    </row>
    <row r="79" spans="1:14" ht="15" customHeight="1">
      <c r="A79" s="128"/>
      <c r="B79" s="355" t="s">
        <v>48</v>
      </c>
      <c r="C79" s="340">
        <v>3237.21</v>
      </c>
      <c r="D79" s="340"/>
      <c r="E79" s="340">
        <v>3194.32</v>
      </c>
      <c r="H79" s="387"/>
      <c r="I79" s="311"/>
      <c r="J79" s="311"/>
      <c r="K79" s="393"/>
      <c r="L79" s="393"/>
      <c r="M79" s="393"/>
      <c r="N79" s="393"/>
    </row>
    <row r="80" spans="1:14" ht="15" customHeight="1">
      <c r="A80" s="128"/>
      <c r="B80" s="355" t="s">
        <v>49</v>
      </c>
      <c r="C80" s="340">
        <v>3418.32</v>
      </c>
      <c r="D80" s="340"/>
      <c r="E80" s="340">
        <v>3372.88</v>
      </c>
      <c r="H80" s="387"/>
      <c r="I80" s="311"/>
      <c r="J80" s="311"/>
      <c r="K80" s="393"/>
      <c r="L80" s="393"/>
      <c r="M80" s="393"/>
      <c r="N80" s="393"/>
    </row>
    <row r="81" spans="1:14" ht="15" customHeight="1">
      <c r="A81" s="128"/>
      <c r="B81" s="355" t="s">
        <v>50</v>
      </c>
      <c r="C81" s="340">
        <v>3610.31</v>
      </c>
      <c r="D81" s="340"/>
      <c r="E81" s="340">
        <v>3562.16</v>
      </c>
      <c r="H81" s="387"/>
      <c r="I81" s="311"/>
      <c r="J81" s="311"/>
      <c r="K81" s="393"/>
      <c r="L81" s="393"/>
      <c r="M81" s="393"/>
      <c r="N81" s="393"/>
    </row>
    <row r="82" spans="2:14" ht="15" customHeight="1">
      <c r="B82" s="10"/>
      <c r="C82" s="387"/>
      <c r="D82" s="387"/>
      <c r="E82" s="387"/>
      <c r="H82" s="387"/>
      <c r="I82" s="311"/>
      <c r="J82" s="311"/>
      <c r="K82" s="393"/>
      <c r="L82" s="393"/>
      <c r="M82" s="393"/>
      <c r="N82" s="393"/>
    </row>
    <row r="83" spans="1:10" ht="15" customHeight="1">
      <c r="A83" s="357" t="s">
        <v>298</v>
      </c>
      <c r="B83" s="307"/>
      <c r="C83" s="317" t="s">
        <v>187</v>
      </c>
      <c r="I83" s="311"/>
      <c r="J83" s="311"/>
    </row>
    <row r="84" spans="1:10" ht="15" customHeight="1">
      <c r="A84" s="128">
        <v>41107033</v>
      </c>
      <c r="B84" s="307"/>
      <c r="C84" s="340">
        <v>27.57</v>
      </c>
      <c r="I84" s="311"/>
      <c r="J84" s="311"/>
    </row>
    <row r="85" spans="9:10" ht="15" customHeight="1">
      <c r="I85" s="311"/>
      <c r="J85" s="311"/>
    </row>
    <row r="86" spans="1:10" ht="15" customHeight="1">
      <c r="A86" s="396" t="s">
        <v>299</v>
      </c>
      <c r="B86" s="313"/>
      <c r="I86" s="311"/>
      <c r="J86" s="311"/>
    </row>
    <row r="87" spans="1:14" ht="15" customHeight="1">
      <c r="A87" s="396" t="s">
        <v>188</v>
      </c>
      <c r="B87" s="313"/>
      <c r="C87" s="347"/>
      <c r="G87" s="388"/>
      <c r="H87" s="391"/>
      <c r="I87" s="311"/>
      <c r="J87" s="311"/>
      <c r="K87" s="391"/>
      <c r="M87" s="391"/>
      <c r="N87" s="391"/>
    </row>
    <row r="88" spans="1:14" ht="15" customHeight="1">
      <c r="A88" s="397" t="s">
        <v>286</v>
      </c>
      <c r="B88" s="313"/>
      <c r="C88" s="317" t="s">
        <v>2</v>
      </c>
      <c r="D88" s="318"/>
      <c r="E88" s="317" t="s">
        <v>3</v>
      </c>
      <c r="G88" s="388"/>
      <c r="H88" s="391"/>
      <c r="I88" s="311"/>
      <c r="J88" s="311"/>
      <c r="K88" s="391"/>
      <c r="M88" s="391"/>
      <c r="N88" s="391"/>
    </row>
    <row r="89" spans="1:14" ht="15" customHeight="1">
      <c r="A89" s="386"/>
      <c r="B89" s="308" t="s">
        <v>189</v>
      </c>
      <c r="C89" s="340">
        <v>4226.28</v>
      </c>
      <c r="D89" s="340"/>
      <c r="E89" s="340">
        <v>4205.59</v>
      </c>
      <c r="G89" s="388"/>
      <c r="H89" s="314"/>
      <c r="I89" s="311"/>
      <c r="J89" s="311"/>
      <c r="K89" s="391"/>
      <c r="L89" s="391"/>
      <c r="M89" s="391"/>
      <c r="N89" s="391"/>
    </row>
    <row r="90" spans="1:14" ht="15" customHeight="1">
      <c r="A90" s="386"/>
      <c r="B90" s="308" t="s">
        <v>221</v>
      </c>
      <c r="C90" s="340">
        <v>4360.68</v>
      </c>
      <c r="D90" s="340"/>
      <c r="E90" s="340">
        <v>4339.32</v>
      </c>
      <c r="G90" s="388"/>
      <c r="H90" s="314"/>
      <c r="I90" s="311"/>
      <c r="J90" s="311"/>
      <c r="K90" s="391"/>
      <c r="L90" s="391"/>
      <c r="M90" s="391"/>
      <c r="N90" s="391"/>
    </row>
    <row r="91" spans="1:14" ht="15" customHeight="1">
      <c r="A91" s="386"/>
      <c r="B91" s="320" t="s">
        <v>190</v>
      </c>
      <c r="C91" s="340">
        <v>4731.11</v>
      </c>
      <c r="D91" s="340"/>
      <c r="E91" s="340">
        <v>4707.92</v>
      </c>
      <c r="G91" s="388"/>
      <c r="H91" s="314"/>
      <c r="I91" s="311"/>
      <c r="J91" s="311"/>
      <c r="K91" s="391"/>
      <c r="L91" s="391"/>
      <c r="M91" s="391"/>
      <c r="N91" s="391"/>
    </row>
    <row r="92" spans="1:14" ht="14.25">
      <c r="A92" s="386"/>
      <c r="B92" s="320" t="s">
        <v>191</v>
      </c>
      <c r="C92" s="340">
        <v>5237.16</v>
      </c>
      <c r="D92" s="340"/>
      <c r="E92" s="340">
        <v>5211.48</v>
      </c>
      <c r="G92" s="388"/>
      <c r="H92" s="314"/>
      <c r="I92" s="311"/>
      <c r="J92" s="311"/>
      <c r="K92" s="391"/>
      <c r="L92" s="391"/>
      <c r="M92" s="391"/>
      <c r="N92" s="391"/>
    </row>
    <row r="93" spans="1:11" ht="14.25">
      <c r="A93" s="386"/>
      <c r="B93" s="320" t="s">
        <v>222</v>
      </c>
      <c r="C93" s="340">
        <v>5576.12</v>
      </c>
      <c r="D93" s="340"/>
      <c r="E93" s="340">
        <v>5548.79</v>
      </c>
      <c r="G93" s="388"/>
      <c r="H93" s="314"/>
      <c r="I93" s="311"/>
      <c r="J93" s="311"/>
      <c r="K93" s="391"/>
    </row>
    <row r="94" spans="1:12" ht="14.25">
      <c r="A94" s="386"/>
      <c r="B94" s="313"/>
      <c r="C94" s="390"/>
      <c r="D94" s="351"/>
      <c r="E94" s="390"/>
      <c r="G94" s="388"/>
      <c r="H94" s="391"/>
      <c r="I94" s="311"/>
      <c r="J94" s="311"/>
      <c r="K94" s="391"/>
      <c r="L94" s="391"/>
    </row>
    <row r="95" spans="1:11" ht="14.25">
      <c r="A95" s="358" t="s">
        <v>287</v>
      </c>
      <c r="B95" s="313"/>
      <c r="C95" s="390"/>
      <c r="D95" s="330"/>
      <c r="E95" s="390"/>
      <c r="G95" s="388"/>
      <c r="H95" s="391"/>
      <c r="I95" s="311"/>
      <c r="J95" s="311"/>
      <c r="K95" s="391"/>
    </row>
    <row r="96" spans="2:11" ht="14.25">
      <c r="B96" s="309" t="s">
        <v>189</v>
      </c>
      <c r="C96" s="340">
        <v>3648.12</v>
      </c>
      <c r="D96" s="340"/>
      <c r="E96" s="340">
        <v>3630.25</v>
      </c>
      <c r="G96" s="388"/>
      <c r="H96" s="314"/>
      <c r="I96" s="311"/>
      <c r="J96" s="311"/>
      <c r="K96" s="391"/>
    </row>
    <row r="97" spans="2:11" ht="14.25">
      <c r="B97" s="308" t="s">
        <v>221</v>
      </c>
      <c r="C97" s="340">
        <v>3846.66</v>
      </c>
      <c r="D97" s="340"/>
      <c r="E97" s="340">
        <v>3827.81</v>
      </c>
      <c r="G97" s="388"/>
      <c r="H97" s="314"/>
      <c r="I97" s="311"/>
      <c r="J97" s="311"/>
      <c r="K97" s="391"/>
    </row>
    <row r="98" spans="2:11" ht="14.25">
      <c r="B98" s="320" t="s">
        <v>190</v>
      </c>
      <c r="C98" s="340">
        <v>4200.14</v>
      </c>
      <c r="D98" s="340"/>
      <c r="E98" s="340">
        <v>4179.57</v>
      </c>
      <c r="G98" s="388"/>
      <c r="H98" s="314"/>
      <c r="I98" s="311"/>
      <c r="J98" s="311"/>
      <c r="K98" s="391"/>
    </row>
    <row r="99" spans="2:11" ht="14.25">
      <c r="B99" s="320" t="s">
        <v>191</v>
      </c>
      <c r="C99" s="340">
        <v>4614.17</v>
      </c>
      <c r="D99" s="340"/>
      <c r="E99" s="340">
        <v>4591.57</v>
      </c>
      <c r="G99" s="388"/>
      <c r="H99" s="314"/>
      <c r="I99" s="311"/>
      <c r="J99" s="311"/>
      <c r="K99" s="391"/>
    </row>
    <row r="100" spans="2:11" ht="14.25">
      <c r="B100" s="320" t="s">
        <v>222</v>
      </c>
      <c r="C100" s="340">
        <v>4858.72</v>
      </c>
      <c r="D100" s="340"/>
      <c r="E100" s="340">
        <v>4834.91</v>
      </c>
      <c r="G100" s="388"/>
      <c r="H100" s="314"/>
      <c r="I100" s="311"/>
      <c r="J100" s="311"/>
      <c r="K100" s="391"/>
    </row>
    <row r="101" spans="2:11" ht="14.25">
      <c r="B101" s="324"/>
      <c r="C101" s="390"/>
      <c r="D101" s="329"/>
      <c r="E101" s="390"/>
      <c r="G101" s="388"/>
      <c r="H101" s="314"/>
      <c r="I101" s="311"/>
      <c r="J101" s="311"/>
      <c r="K101" s="391"/>
    </row>
    <row r="102" spans="1:13" ht="14.25">
      <c r="A102" s="322" t="s">
        <v>300</v>
      </c>
      <c r="B102" s="398"/>
      <c r="C102" s="399"/>
      <c r="D102" s="399"/>
      <c r="I102" s="311"/>
      <c r="J102" s="311"/>
      <c r="M102" s="391"/>
    </row>
    <row r="103" spans="1:13" ht="14.25">
      <c r="A103" s="322" t="s">
        <v>192</v>
      </c>
      <c r="B103" s="400"/>
      <c r="C103" s="401"/>
      <c r="D103" s="399"/>
      <c r="I103" s="311"/>
      <c r="J103" s="311"/>
      <c r="K103" s="391"/>
      <c r="M103" s="391"/>
    </row>
    <row r="104" spans="1:13" ht="14.25">
      <c r="A104" s="350" t="s">
        <v>193</v>
      </c>
      <c r="B104" s="355" t="s">
        <v>194</v>
      </c>
      <c r="C104" s="317" t="s">
        <v>96</v>
      </c>
      <c r="D104" s="317" t="s">
        <v>97</v>
      </c>
      <c r="H104" s="388"/>
      <c r="I104" s="311"/>
      <c r="J104" s="311"/>
      <c r="K104" s="391"/>
      <c r="M104" s="391"/>
    </row>
    <row r="105" spans="1:13" ht="14.25">
      <c r="A105" s="350"/>
      <c r="B105" s="355" t="s">
        <v>95</v>
      </c>
      <c r="C105" s="340">
        <v>3883.41</v>
      </c>
      <c r="D105" s="340">
        <v>4559.49</v>
      </c>
      <c r="E105" s="340">
        <v>4077.56</v>
      </c>
      <c r="F105" s="340">
        <v>4753.68</v>
      </c>
      <c r="G105" s="340">
        <v>4281.45</v>
      </c>
      <c r="H105" s="340">
        <v>4957.56</v>
      </c>
      <c r="I105" s="340">
        <v>4495.53</v>
      </c>
      <c r="J105" s="340">
        <v>5171.62</v>
      </c>
      <c r="K105" s="340">
        <v>4675.35</v>
      </c>
      <c r="L105" s="340">
        <v>5351.48</v>
      </c>
      <c r="M105" s="391"/>
    </row>
    <row r="106" spans="1:13" ht="14.25">
      <c r="A106" s="350"/>
      <c r="B106" s="355" t="s">
        <v>46</v>
      </c>
      <c r="C106" s="340">
        <v>4077.56</v>
      </c>
      <c r="D106" s="340">
        <v>4753.68</v>
      </c>
      <c r="G106" s="388"/>
      <c r="H106" s="314"/>
      <c r="I106" s="311"/>
      <c r="J106" s="311"/>
      <c r="K106" s="391"/>
      <c r="M106" s="391"/>
    </row>
    <row r="107" spans="1:13" ht="14.25">
      <c r="A107" s="350"/>
      <c r="B107" s="355" t="s">
        <v>48</v>
      </c>
      <c r="C107" s="340">
        <v>4281.45</v>
      </c>
      <c r="D107" s="340">
        <v>4957.56</v>
      </c>
      <c r="G107" s="388"/>
      <c r="H107" s="314"/>
      <c r="I107" s="311"/>
      <c r="J107" s="311"/>
      <c r="K107" s="391"/>
      <c r="M107" s="391"/>
    </row>
    <row r="108" spans="1:11" ht="14.25">
      <c r="A108" s="350"/>
      <c r="B108" s="355" t="s">
        <v>49</v>
      </c>
      <c r="C108" s="340">
        <v>4495.53</v>
      </c>
      <c r="D108" s="340">
        <v>5171.62</v>
      </c>
      <c r="G108" s="388"/>
      <c r="H108" s="314"/>
      <c r="I108" s="311"/>
      <c r="J108" s="311"/>
      <c r="K108" s="391"/>
    </row>
    <row r="109" spans="1:12" ht="14.25">
      <c r="A109" s="350"/>
      <c r="B109" s="355" t="s">
        <v>50</v>
      </c>
      <c r="C109" s="340">
        <v>4675.35</v>
      </c>
      <c r="D109" s="340">
        <v>5351.48</v>
      </c>
      <c r="G109" s="388"/>
      <c r="H109" s="314"/>
      <c r="I109" s="311"/>
      <c r="J109" s="311"/>
      <c r="K109" s="391"/>
      <c r="L109" s="391"/>
    </row>
    <row r="110" spans="1:12" ht="14.25">
      <c r="A110" s="350" t="s">
        <v>195</v>
      </c>
      <c r="B110" s="355" t="s">
        <v>337</v>
      </c>
      <c r="C110" s="340"/>
      <c r="D110" s="340"/>
      <c r="G110" s="388"/>
      <c r="H110" s="391"/>
      <c r="I110" s="311"/>
      <c r="J110" s="311"/>
      <c r="K110" s="391"/>
      <c r="L110" s="391"/>
    </row>
    <row r="111" spans="1:12" ht="14.25">
      <c r="A111" s="350"/>
      <c r="B111" s="355" t="s">
        <v>95</v>
      </c>
      <c r="C111" s="340">
        <v>3653.05</v>
      </c>
      <c r="D111" s="340">
        <v>4187.45</v>
      </c>
      <c r="E111" s="340">
        <v>3835.7</v>
      </c>
      <c r="F111" s="340">
        <v>4370.12</v>
      </c>
      <c r="G111" s="340">
        <v>4027.48</v>
      </c>
      <c r="H111" s="340">
        <v>4561.88</v>
      </c>
      <c r="I111" s="340">
        <v>4228.85</v>
      </c>
      <c r="J111" s="340">
        <v>4763.27</v>
      </c>
      <c r="K111" s="340">
        <v>4398.03</v>
      </c>
      <c r="L111" s="340">
        <v>4932.44</v>
      </c>
    </row>
    <row r="112" spans="1:12" ht="14.25">
      <c r="A112" s="350"/>
      <c r="B112" s="355" t="s">
        <v>46</v>
      </c>
      <c r="C112" s="340">
        <v>3835.7</v>
      </c>
      <c r="D112" s="340">
        <v>4370.12</v>
      </c>
      <c r="G112" s="388"/>
      <c r="H112" s="314"/>
      <c r="I112" s="311"/>
      <c r="J112" s="311"/>
      <c r="K112" s="391"/>
      <c r="L112" s="391"/>
    </row>
    <row r="113" spans="1:11" ht="14.25">
      <c r="A113" s="350"/>
      <c r="B113" s="355" t="s">
        <v>48</v>
      </c>
      <c r="C113" s="340">
        <v>4027.48</v>
      </c>
      <c r="D113" s="340">
        <v>4561.88</v>
      </c>
      <c r="G113" s="388"/>
      <c r="H113" s="314"/>
      <c r="I113" s="311"/>
      <c r="J113" s="311"/>
      <c r="K113" s="391"/>
    </row>
    <row r="114" spans="1:11" ht="14.25">
      <c r="A114" s="350"/>
      <c r="B114" s="355" t="s">
        <v>49</v>
      </c>
      <c r="C114" s="340">
        <v>4228.85</v>
      </c>
      <c r="D114" s="340">
        <v>4763.27</v>
      </c>
      <c r="G114" s="388"/>
      <c r="H114" s="314"/>
      <c r="I114" s="311"/>
      <c r="J114" s="311"/>
      <c r="K114" s="391"/>
    </row>
    <row r="115" spans="1:11" ht="14.25">
      <c r="A115" s="350"/>
      <c r="B115" s="355" t="s">
        <v>50</v>
      </c>
      <c r="C115" s="340">
        <v>4398.03</v>
      </c>
      <c r="D115" s="340">
        <v>4932.44</v>
      </c>
      <c r="G115" s="388"/>
      <c r="H115" s="314"/>
      <c r="I115" s="311"/>
      <c r="J115" s="311"/>
      <c r="K115" s="391"/>
    </row>
    <row r="116" spans="1:11" ht="14.25">
      <c r="A116" s="350" t="s">
        <v>196</v>
      </c>
      <c r="B116" s="355" t="s">
        <v>197</v>
      </c>
      <c r="C116" s="340"/>
      <c r="D116" s="340"/>
      <c r="G116" s="388"/>
      <c r="H116" s="391"/>
      <c r="I116" s="311"/>
      <c r="J116" s="311"/>
      <c r="K116" s="391"/>
    </row>
    <row r="117" spans="1:12" ht="14.25">
      <c r="A117" s="350"/>
      <c r="B117" s="355" t="s">
        <v>95</v>
      </c>
      <c r="C117" s="340">
        <v>3172.2</v>
      </c>
      <c r="D117" s="340">
        <v>3638.9</v>
      </c>
      <c r="E117" s="340">
        <v>3330.83</v>
      </c>
      <c r="F117" s="340">
        <v>3797.49</v>
      </c>
      <c r="G117" s="340">
        <v>3497.36</v>
      </c>
      <c r="H117" s="340">
        <v>3964.06</v>
      </c>
      <c r="I117" s="340">
        <v>3672.24</v>
      </c>
      <c r="J117" s="340">
        <v>4138.92</v>
      </c>
      <c r="K117" s="340">
        <v>3819.11</v>
      </c>
      <c r="L117" s="340">
        <v>4285.79</v>
      </c>
    </row>
    <row r="118" spans="1:11" ht="14.25">
      <c r="A118" s="350"/>
      <c r="B118" s="355" t="s">
        <v>46</v>
      </c>
      <c r="C118" s="340">
        <v>3330.83</v>
      </c>
      <c r="D118" s="340">
        <v>3797.49</v>
      </c>
      <c r="G118" s="388"/>
      <c r="H118" s="314"/>
      <c r="I118" s="311"/>
      <c r="J118" s="311"/>
      <c r="K118" s="391"/>
    </row>
    <row r="119" spans="1:11" ht="14.25">
      <c r="A119" s="350"/>
      <c r="B119" s="355" t="s">
        <v>48</v>
      </c>
      <c r="C119" s="340">
        <v>3497.36</v>
      </c>
      <c r="D119" s="340">
        <v>3964.06</v>
      </c>
      <c r="G119" s="388"/>
      <c r="H119" s="314"/>
      <c r="I119" s="311"/>
      <c r="J119" s="311"/>
      <c r="K119" s="391"/>
    </row>
    <row r="120" spans="1:11" ht="14.25">
      <c r="A120" s="350"/>
      <c r="B120" s="355" t="s">
        <v>49</v>
      </c>
      <c r="C120" s="340">
        <v>3672.24</v>
      </c>
      <c r="D120" s="340">
        <v>4138.92</v>
      </c>
      <c r="G120" s="388"/>
      <c r="H120" s="314"/>
      <c r="I120" s="311"/>
      <c r="J120" s="311"/>
      <c r="K120" s="391"/>
    </row>
    <row r="121" spans="1:11" ht="14.25">
      <c r="A121" s="350"/>
      <c r="B121" s="355" t="s">
        <v>50</v>
      </c>
      <c r="C121" s="340">
        <v>3819.11</v>
      </c>
      <c r="D121" s="340">
        <v>4285.79</v>
      </c>
      <c r="G121" s="388"/>
      <c r="H121" s="314"/>
      <c r="I121" s="311"/>
      <c r="J121" s="311"/>
      <c r="K121" s="391"/>
    </row>
    <row r="122" spans="1:11" ht="14.25">
      <c r="A122" s="350" t="s">
        <v>198</v>
      </c>
      <c r="B122" s="355" t="s">
        <v>199</v>
      </c>
      <c r="C122" s="340"/>
      <c r="D122" s="340"/>
      <c r="G122" s="388"/>
      <c r="H122" s="391"/>
      <c r="I122" s="311"/>
      <c r="J122" s="311"/>
      <c r="K122" s="391"/>
    </row>
    <row r="123" spans="1:12" ht="14.25">
      <c r="A123" s="402"/>
      <c r="B123" s="355" t="s">
        <v>95</v>
      </c>
      <c r="C123" s="340">
        <v>2889.3</v>
      </c>
      <c r="D123" s="340">
        <v>3259.78</v>
      </c>
      <c r="E123" s="340">
        <v>3033.79</v>
      </c>
      <c r="F123" s="340">
        <v>3404.25</v>
      </c>
      <c r="G123" s="340">
        <v>3185.47</v>
      </c>
      <c r="H123" s="340">
        <v>3555.92</v>
      </c>
      <c r="I123" s="340">
        <v>3344.76</v>
      </c>
      <c r="J123" s="340">
        <v>3715.2</v>
      </c>
      <c r="K123" s="340">
        <v>3478.55</v>
      </c>
      <c r="L123" s="340">
        <v>3848.98</v>
      </c>
    </row>
    <row r="124" spans="1:15" ht="14.25">
      <c r="A124" s="402"/>
      <c r="B124" s="355" t="s">
        <v>46</v>
      </c>
      <c r="C124" s="340">
        <v>3033.79</v>
      </c>
      <c r="D124" s="340">
        <v>3404.25</v>
      </c>
      <c r="G124" s="388"/>
      <c r="H124" s="314"/>
      <c r="I124" s="311"/>
      <c r="J124" s="311"/>
      <c r="K124" s="391"/>
      <c r="O124" s="391"/>
    </row>
    <row r="125" spans="1:15" ht="14.25">
      <c r="A125" s="402"/>
      <c r="B125" s="355" t="s">
        <v>48</v>
      </c>
      <c r="C125" s="340">
        <v>3185.47</v>
      </c>
      <c r="D125" s="340">
        <v>3555.92</v>
      </c>
      <c r="G125" s="388"/>
      <c r="H125" s="314"/>
      <c r="I125" s="311"/>
      <c r="J125" s="311"/>
      <c r="K125" s="391"/>
      <c r="O125" s="391"/>
    </row>
    <row r="126" spans="1:15" ht="14.25">
      <c r="A126" s="402"/>
      <c r="B126" s="355" t="s">
        <v>49</v>
      </c>
      <c r="C126" s="340">
        <v>3344.76</v>
      </c>
      <c r="D126" s="340">
        <v>3715.2</v>
      </c>
      <c r="G126" s="388"/>
      <c r="H126" s="314"/>
      <c r="I126" s="311"/>
      <c r="J126" s="311"/>
      <c r="K126" s="391"/>
      <c r="O126" s="391"/>
    </row>
    <row r="127" spans="1:15" ht="14.25">
      <c r="A127" s="402"/>
      <c r="B127" s="355" t="s">
        <v>50</v>
      </c>
      <c r="C127" s="340">
        <v>3478.55</v>
      </c>
      <c r="D127" s="340">
        <v>3848.98</v>
      </c>
      <c r="G127" s="388"/>
      <c r="H127" s="314"/>
      <c r="I127" s="311"/>
      <c r="J127" s="311"/>
      <c r="K127" s="391"/>
      <c r="O127" s="391"/>
    </row>
    <row r="128" spans="9:10" ht="14.25">
      <c r="I128" s="311"/>
      <c r="J128" s="311"/>
    </row>
    <row r="129" spans="1:15" ht="14.25">
      <c r="A129" s="322" t="s">
        <v>301</v>
      </c>
      <c r="B129" s="326"/>
      <c r="C129" s="17" t="s">
        <v>96</v>
      </c>
      <c r="D129" s="316" t="s">
        <v>97</v>
      </c>
      <c r="E129" s="17" t="s">
        <v>96</v>
      </c>
      <c r="F129" s="316" t="s">
        <v>97</v>
      </c>
      <c r="G129" s="388"/>
      <c r="H129" s="391"/>
      <c r="I129" s="311"/>
      <c r="J129" s="311"/>
      <c r="K129" s="391"/>
      <c r="M129" s="391"/>
      <c r="N129" s="391"/>
      <c r="O129" s="391"/>
    </row>
    <row r="130" spans="1:15" ht="14.25">
      <c r="A130" s="322" t="s">
        <v>223</v>
      </c>
      <c r="B130" s="326"/>
      <c r="C130" s="318" t="s">
        <v>2</v>
      </c>
      <c r="D130" s="318" t="s">
        <v>2</v>
      </c>
      <c r="E130" s="318" t="s">
        <v>3</v>
      </c>
      <c r="F130" s="318" t="s">
        <v>3</v>
      </c>
      <c r="G130" s="388"/>
      <c r="H130" s="391"/>
      <c r="I130" s="311"/>
      <c r="J130" s="311"/>
      <c r="K130" s="391"/>
      <c r="M130" s="391"/>
      <c r="N130" s="391"/>
      <c r="O130" s="391"/>
    </row>
    <row r="131" spans="1:13" ht="14.25">
      <c r="A131" s="128">
        <v>40601001</v>
      </c>
      <c r="B131" s="308" t="s">
        <v>181</v>
      </c>
      <c r="C131" s="340">
        <v>3845.43</v>
      </c>
      <c r="D131" s="340">
        <v>4338.91</v>
      </c>
      <c r="E131" s="340">
        <v>3845.43</v>
      </c>
      <c r="F131" s="340">
        <v>4338.91</v>
      </c>
      <c r="G131" s="388"/>
      <c r="H131" s="314"/>
      <c r="I131" s="311"/>
      <c r="J131" s="311"/>
      <c r="K131" s="391"/>
      <c r="M131" s="391"/>
    </row>
    <row r="132" spans="1:11" ht="14.25">
      <c r="A132" s="128">
        <v>40602002</v>
      </c>
      <c r="B132" s="308" t="s">
        <v>185</v>
      </c>
      <c r="C132" s="340">
        <v>3559.99</v>
      </c>
      <c r="D132" s="340">
        <v>3686.53</v>
      </c>
      <c r="E132" s="340">
        <v>3559.99</v>
      </c>
      <c r="F132" s="340">
        <v>3686.53</v>
      </c>
      <c r="G132" s="388"/>
      <c r="H132" s="314"/>
      <c r="I132" s="311"/>
      <c r="J132" s="311"/>
      <c r="K132" s="391"/>
    </row>
    <row r="133" spans="1:11" ht="14.25">
      <c r="A133" s="128">
        <v>40604006</v>
      </c>
      <c r="B133" s="308" t="s">
        <v>288</v>
      </c>
      <c r="C133" s="340">
        <v>2967.86</v>
      </c>
      <c r="D133" s="330"/>
      <c r="E133" s="340">
        <v>2923.74</v>
      </c>
      <c r="F133" s="397"/>
      <c r="G133" s="388"/>
      <c r="H133" s="314"/>
      <c r="I133" s="311"/>
      <c r="J133" s="311"/>
      <c r="K133" s="391"/>
    </row>
    <row r="134" spans="1:11" ht="14.25">
      <c r="A134" s="128">
        <v>40604007</v>
      </c>
      <c r="B134" s="308" t="s">
        <v>227</v>
      </c>
      <c r="C134" s="340">
        <v>2549.87</v>
      </c>
      <c r="D134" s="352"/>
      <c r="E134" s="340">
        <v>2511.99</v>
      </c>
      <c r="F134" s="403"/>
      <c r="G134" s="388"/>
      <c r="H134" s="314"/>
      <c r="I134" s="311"/>
      <c r="J134" s="311"/>
      <c r="K134" s="391"/>
    </row>
    <row r="135" spans="1:11" ht="14.25">
      <c r="A135" s="353"/>
      <c r="B135" s="313"/>
      <c r="C135" s="347"/>
      <c r="D135" s="329"/>
      <c r="E135" s="347"/>
      <c r="F135" s="404"/>
      <c r="I135" s="311"/>
      <c r="J135" s="311"/>
      <c r="K135" s="391"/>
    </row>
    <row r="136" spans="1:10" ht="14.25">
      <c r="A136" s="388"/>
      <c r="B136" s="313"/>
      <c r="C136" s="318" t="s">
        <v>2</v>
      </c>
      <c r="D136" s="339"/>
      <c r="E136" s="318" t="s">
        <v>3</v>
      </c>
      <c r="G136" s="391"/>
      <c r="H136" s="391"/>
      <c r="I136" s="311"/>
      <c r="J136" s="311"/>
    </row>
    <row r="137" spans="1:10" ht="14.25">
      <c r="A137" s="322" t="s">
        <v>228</v>
      </c>
      <c r="B137" s="313"/>
      <c r="C137" s="317" t="s">
        <v>187</v>
      </c>
      <c r="D137" s="359"/>
      <c r="E137" s="317" t="s">
        <v>187</v>
      </c>
      <c r="G137" s="391"/>
      <c r="H137" s="391"/>
      <c r="I137" s="311"/>
      <c r="J137" s="311"/>
    </row>
    <row r="138" spans="1:13" ht="14.25">
      <c r="A138" s="128" t="s">
        <v>331</v>
      </c>
      <c r="B138" s="327" t="s">
        <v>229</v>
      </c>
      <c r="C138" s="340">
        <v>29.51</v>
      </c>
      <c r="D138" s="352"/>
      <c r="E138" s="340">
        <v>29.05</v>
      </c>
      <c r="G138" s="391"/>
      <c r="H138" s="314"/>
      <c r="I138" s="311"/>
      <c r="J138" s="311"/>
      <c r="K138" s="391"/>
      <c r="M138" s="391"/>
    </row>
    <row r="139" spans="1:10" ht="27">
      <c r="A139" s="128" t="s">
        <v>332</v>
      </c>
      <c r="B139" s="313" t="s">
        <v>230</v>
      </c>
      <c r="C139" s="340">
        <v>27.81</v>
      </c>
      <c r="D139" s="352"/>
      <c r="E139" s="340">
        <v>27.45</v>
      </c>
      <c r="G139" s="391"/>
      <c r="H139" s="314"/>
      <c r="I139" s="311"/>
      <c r="J139" s="311"/>
    </row>
    <row r="140" spans="1:10" ht="14.25">
      <c r="A140" s="128" t="s">
        <v>333</v>
      </c>
      <c r="B140" s="328" t="s">
        <v>231</v>
      </c>
      <c r="C140" s="340">
        <v>27.02</v>
      </c>
      <c r="D140" s="352"/>
      <c r="E140" s="340">
        <v>26.61</v>
      </c>
      <c r="G140" s="391"/>
      <c r="H140" s="314"/>
      <c r="I140" s="311"/>
      <c r="J140" s="311"/>
    </row>
    <row r="141" spans="1:10" ht="14.25">
      <c r="A141" s="128"/>
      <c r="B141" s="313"/>
      <c r="C141" s="329"/>
      <c r="D141" s="329"/>
      <c r="I141" s="311"/>
      <c r="J141" s="311"/>
    </row>
    <row r="142" spans="1:11" ht="14.25">
      <c r="A142" s="322" t="s">
        <v>302</v>
      </c>
      <c r="B142" s="323"/>
      <c r="C142" s="17" t="s">
        <v>96</v>
      </c>
      <c r="D142" s="316" t="s">
        <v>97</v>
      </c>
      <c r="E142" s="17" t="s">
        <v>96</v>
      </c>
      <c r="F142" s="316" t="s">
        <v>97</v>
      </c>
      <c r="G142" s="316"/>
      <c r="H142" s="316"/>
      <c r="I142" s="311"/>
      <c r="J142" s="311"/>
      <c r="K142" s="391"/>
    </row>
    <row r="143" spans="1:11" ht="14.25">
      <c r="A143" s="322" t="s">
        <v>223</v>
      </c>
      <c r="B143" s="323"/>
      <c r="C143" s="318" t="s">
        <v>2</v>
      </c>
      <c r="D143" s="318" t="s">
        <v>2</v>
      </c>
      <c r="E143" s="318" t="s">
        <v>3</v>
      </c>
      <c r="F143" s="318" t="s">
        <v>3</v>
      </c>
      <c r="G143" s="318"/>
      <c r="H143" s="318"/>
      <c r="I143" s="311"/>
      <c r="J143" s="311"/>
      <c r="K143" s="391"/>
    </row>
    <row r="144" spans="1:15" ht="14.25">
      <c r="A144" s="128">
        <v>40801002</v>
      </c>
      <c r="B144" s="308" t="s">
        <v>181</v>
      </c>
      <c r="C144" s="340">
        <v>3843.13</v>
      </c>
      <c r="D144" s="340">
        <v>4774.78</v>
      </c>
      <c r="E144" s="340">
        <v>3843.13</v>
      </c>
      <c r="F144" s="340">
        <v>4774.78</v>
      </c>
      <c r="G144" s="388"/>
      <c r="H144" s="314"/>
      <c r="I144" s="311"/>
      <c r="J144" s="311"/>
      <c r="K144" s="391"/>
      <c r="L144" s="391"/>
      <c r="M144" s="391"/>
      <c r="N144" s="391"/>
      <c r="O144" s="391"/>
    </row>
    <row r="145" spans="1:11" ht="14.25">
      <c r="A145" s="128">
        <v>40802005</v>
      </c>
      <c r="B145" s="308" t="s">
        <v>185</v>
      </c>
      <c r="C145" s="340">
        <v>3586.34</v>
      </c>
      <c r="D145" s="340">
        <v>4179.88</v>
      </c>
      <c r="E145" s="340">
        <v>3586.34</v>
      </c>
      <c r="F145" s="340">
        <v>4179.88</v>
      </c>
      <c r="G145" s="388"/>
      <c r="H145" s="314"/>
      <c r="I145" s="311"/>
      <c r="J145" s="311"/>
      <c r="K145" s="391"/>
    </row>
    <row r="146" spans="1:12" ht="14.25">
      <c r="A146" s="128">
        <v>40804012</v>
      </c>
      <c r="B146" s="308" t="s">
        <v>232</v>
      </c>
      <c r="C146" s="340">
        <v>2665.23</v>
      </c>
      <c r="D146" s="359"/>
      <c r="E146" s="340">
        <v>2625.62</v>
      </c>
      <c r="F146" s="397"/>
      <c r="G146" s="388"/>
      <c r="H146" s="314"/>
      <c r="I146" s="311"/>
      <c r="J146" s="311"/>
      <c r="K146" s="391"/>
      <c r="L146" s="391"/>
    </row>
    <row r="147" spans="1:11" ht="14.25">
      <c r="A147" s="128">
        <v>40804014</v>
      </c>
      <c r="B147" s="308" t="s">
        <v>233</v>
      </c>
      <c r="C147" s="340">
        <v>2495.21</v>
      </c>
      <c r="D147" s="360"/>
      <c r="E147" s="340">
        <v>2458.14</v>
      </c>
      <c r="F147" s="403"/>
      <c r="G147" s="388"/>
      <c r="H147" s="314"/>
      <c r="I147" s="311"/>
      <c r="J147" s="311"/>
      <c r="K147" s="391"/>
    </row>
    <row r="148" spans="1:11" ht="14.25">
      <c r="A148" s="128">
        <v>40804013</v>
      </c>
      <c r="B148" s="308" t="s">
        <v>234</v>
      </c>
      <c r="C148" s="340">
        <v>2276.51</v>
      </c>
      <c r="D148" s="360"/>
      <c r="E148" s="340">
        <v>2242.67</v>
      </c>
      <c r="F148" s="403"/>
      <c r="G148" s="388"/>
      <c r="H148" s="314"/>
      <c r="I148" s="311"/>
      <c r="J148" s="311"/>
      <c r="K148" s="391"/>
    </row>
    <row r="149" spans="1:12" ht="14.25">
      <c r="A149" s="128">
        <v>40804008</v>
      </c>
      <c r="B149" s="308" t="s">
        <v>235</v>
      </c>
      <c r="C149" s="340">
        <v>2664.82</v>
      </c>
      <c r="D149" s="360"/>
      <c r="E149" s="340">
        <v>2625.18</v>
      </c>
      <c r="F149" s="403"/>
      <c r="G149" s="388"/>
      <c r="H149" s="314"/>
      <c r="I149" s="311"/>
      <c r="J149" s="311"/>
      <c r="K149" s="391"/>
      <c r="L149" s="391"/>
    </row>
    <row r="150" spans="1:12" ht="14.25">
      <c r="A150" s="128">
        <v>40804009</v>
      </c>
      <c r="B150" s="308" t="s">
        <v>236</v>
      </c>
      <c r="C150" s="340">
        <v>2528.42</v>
      </c>
      <c r="D150" s="360"/>
      <c r="E150" s="340">
        <v>2490.8</v>
      </c>
      <c r="F150" s="403"/>
      <c r="G150" s="388"/>
      <c r="H150" s="314"/>
      <c r="I150" s="311"/>
      <c r="J150" s="311"/>
      <c r="K150" s="391"/>
      <c r="L150" s="391"/>
    </row>
    <row r="151" spans="1:12" ht="14.25">
      <c r="A151" s="128">
        <v>40807026</v>
      </c>
      <c r="B151" s="308" t="s">
        <v>237</v>
      </c>
      <c r="C151" s="340">
        <v>2478.16</v>
      </c>
      <c r="D151" s="360"/>
      <c r="E151" s="340">
        <v>2441.33</v>
      </c>
      <c r="F151" s="403"/>
      <c r="G151" s="388"/>
      <c r="H151" s="314"/>
      <c r="I151" s="311"/>
      <c r="J151" s="311"/>
      <c r="K151" s="391"/>
      <c r="L151" s="391"/>
    </row>
    <row r="152" spans="1:11" ht="14.25">
      <c r="A152" s="128">
        <v>40807028</v>
      </c>
      <c r="B152" s="308" t="s">
        <v>238</v>
      </c>
      <c r="C152" s="340">
        <v>2361.83</v>
      </c>
      <c r="D152" s="360"/>
      <c r="E152" s="340">
        <v>2326.71</v>
      </c>
      <c r="F152" s="403"/>
      <c r="G152" s="388"/>
      <c r="H152" s="314"/>
      <c r="I152" s="311"/>
      <c r="J152" s="311"/>
      <c r="K152" s="391"/>
    </row>
    <row r="153" spans="1:11" ht="14.25">
      <c r="A153" s="128">
        <v>40807027</v>
      </c>
      <c r="B153" s="308" t="s">
        <v>239</v>
      </c>
      <c r="C153" s="340">
        <v>2145.44</v>
      </c>
      <c r="D153" s="360"/>
      <c r="E153" s="340">
        <v>2113.57</v>
      </c>
      <c r="F153" s="403"/>
      <c r="G153" s="388"/>
      <c r="H153" s="314"/>
      <c r="I153" s="311"/>
      <c r="J153" s="311"/>
      <c r="K153" s="391"/>
    </row>
    <row r="154" spans="1:13" ht="14.25">
      <c r="A154" s="128"/>
      <c r="B154" s="313"/>
      <c r="C154" s="329"/>
      <c r="D154" s="329"/>
      <c r="E154" s="329"/>
      <c r="I154" s="311"/>
      <c r="J154" s="311"/>
      <c r="K154" s="391"/>
      <c r="M154" s="391"/>
    </row>
    <row r="155" spans="1:13" ht="14.25">
      <c r="A155" s="322" t="s">
        <v>186</v>
      </c>
      <c r="B155" s="313"/>
      <c r="C155" s="317" t="s">
        <v>187</v>
      </c>
      <c r="D155" s="329"/>
      <c r="I155" s="311"/>
      <c r="J155" s="311"/>
      <c r="K155" s="391"/>
      <c r="M155" s="391"/>
    </row>
    <row r="156" spans="1:11" ht="14.25">
      <c r="A156" s="128">
        <v>40807029</v>
      </c>
      <c r="B156" s="327" t="s">
        <v>240</v>
      </c>
      <c r="C156" s="340">
        <v>30.16</v>
      </c>
      <c r="G156" s="388"/>
      <c r="H156" s="314"/>
      <c r="I156" s="311"/>
      <c r="J156" s="311"/>
      <c r="K156" s="391"/>
    </row>
    <row r="157" spans="1:11" ht="27">
      <c r="A157" s="128">
        <v>40807030</v>
      </c>
      <c r="B157" s="327" t="s">
        <v>241</v>
      </c>
      <c r="C157" s="340">
        <v>29.17</v>
      </c>
      <c r="G157" s="388"/>
      <c r="H157" s="314"/>
      <c r="I157" s="311"/>
      <c r="J157" s="311"/>
      <c r="K157" s="391"/>
    </row>
    <row r="158" spans="1:12" ht="14.25">
      <c r="A158" s="128">
        <v>40807031</v>
      </c>
      <c r="B158" s="327" t="s">
        <v>242</v>
      </c>
      <c r="C158" s="340">
        <v>25.92</v>
      </c>
      <c r="G158" s="388"/>
      <c r="H158" s="314"/>
      <c r="I158" s="311"/>
      <c r="J158" s="311"/>
      <c r="L158" s="391"/>
    </row>
    <row r="159" spans="1:12" ht="14.25">
      <c r="A159" s="128"/>
      <c r="C159" s="339"/>
      <c r="D159" s="339"/>
      <c r="E159" s="339"/>
      <c r="F159" s="388"/>
      <c r="G159" s="388"/>
      <c r="H159" s="388"/>
      <c r="I159" s="388"/>
      <c r="J159" s="388"/>
      <c r="L159" s="391"/>
    </row>
    <row r="160" spans="1:12" ht="14.25">
      <c r="A160" s="128"/>
      <c r="C160" s="339"/>
      <c r="D160" s="339"/>
      <c r="E160" s="339"/>
      <c r="F160" s="388"/>
      <c r="G160" s="388"/>
      <c r="H160" s="388"/>
      <c r="I160" s="388"/>
      <c r="J160" s="388"/>
      <c r="L160" s="391"/>
    </row>
    <row r="161" spans="1:12" ht="14.25">
      <c r="A161" s="128"/>
      <c r="C161" s="339"/>
      <c r="D161" s="339"/>
      <c r="E161" s="339"/>
      <c r="F161" s="388"/>
      <c r="G161" s="388"/>
      <c r="H161" s="388"/>
      <c r="I161" s="388"/>
      <c r="J161" s="388"/>
      <c r="L161" s="391"/>
    </row>
    <row r="162" spans="3:12" ht="14.25">
      <c r="C162" s="339"/>
      <c r="D162" s="339"/>
      <c r="E162" s="339"/>
      <c r="F162" s="388"/>
      <c r="G162" s="388"/>
      <c r="H162" s="388"/>
      <c r="I162" s="388"/>
      <c r="J162" s="388"/>
      <c r="L162" s="391"/>
    </row>
    <row r="163" spans="1:12" ht="14.25">
      <c r="A163" s="388"/>
      <c r="B163" s="388"/>
      <c r="C163" s="339"/>
      <c r="D163" s="339"/>
      <c r="E163" s="339"/>
      <c r="F163" s="388"/>
      <c r="G163" s="388"/>
      <c r="H163" s="388"/>
      <c r="I163" s="388"/>
      <c r="J163" s="388"/>
      <c r="L163" s="391"/>
    </row>
    <row r="164" spans="1:12" ht="14.25">
      <c r="A164" s="388"/>
      <c r="B164" s="388"/>
      <c r="C164" s="339"/>
      <c r="D164" s="339"/>
      <c r="E164" s="339"/>
      <c r="F164" s="388"/>
      <c r="G164" s="388"/>
      <c r="H164" s="388"/>
      <c r="I164" s="388"/>
      <c r="J164" s="388"/>
      <c r="L164" s="391"/>
    </row>
    <row r="165" spans="1:12" ht="14.25">
      <c r="A165" s="388"/>
      <c r="B165" s="388"/>
      <c r="C165" s="339"/>
      <c r="D165" s="339"/>
      <c r="E165" s="339"/>
      <c r="F165" s="388"/>
      <c r="G165" s="388"/>
      <c r="H165" s="388"/>
      <c r="I165" s="388"/>
      <c r="J165" s="388"/>
      <c r="L165" s="391"/>
    </row>
    <row r="166" spans="1:10" ht="14.25">
      <c r="A166" s="388"/>
      <c r="B166" s="388"/>
      <c r="C166" s="339"/>
      <c r="D166" s="339"/>
      <c r="E166" s="339"/>
      <c r="F166" s="388"/>
      <c r="G166" s="388"/>
      <c r="H166" s="388"/>
      <c r="I166" s="388"/>
      <c r="J166" s="388"/>
    </row>
    <row r="167" spans="1:15" ht="14.25">
      <c r="A167" s="388"/>
      <c r="B167" s="388"/>
      <c r="C167" s="339"/>
      <c r="D167" s="339"/>
      <c r="E167" s="339"/>
      <c r="F167" s="388"/>
      <c r="G167" s="388"/>
      <c r="H167" s="388"/>
      <c r="I167" s="388"/>
      <c r="J167" s="388"/>
      <c r="L167" s="391"/>
      <c r="M167" s="391"/>
      <c r="N167" s="391"/>
      <c r="O167" s="391"/>
    </row>
    <row r="168" spans="12:15" ht="14.25">
      <c r="L168" s="391"/>
      <c r="M168" s="391"/>
      <c r="N168" s="391"/>
      <c r="O168" s="391"/>
    </row>
    <row r="169" spans="1:15" ht="14.25">
      <c r="A169" s="388"/>
      <c r="B169" s="388"/>
      <c r="C169" s="339"/>
      <c r="D169" s="339"/>
      <c r="E169" s="339"/>
      <c r="F169" s="388"/>
      <c r="G169" s="388"/>
      <c r="H169" s="388"/>
      <c r="I169" s="388"/>
      <c r="J169" s="388"/>
      <c r="L169" s="391"/>
      <c r="M169" s="391"/>
      <c r="N169" s="391"/>
      <c r="O169" s="391"/>
    </row>
    <row r="170" spans="1:15" ht="14.25">
      <c r="A170" s="388"/>
      <c r="B170" s="388"/>
      <c r="C170" s="339"/>
      <c r="D170" s="339"/>
      <c r="E170" s="339"/>
      <c r="F170" s="388"/>
      <c r="G170" s="388"/>
      <c r="H170" s="388"/>
      <c r="I170" s="388"/>
      <c r="J170" s="388"/>
      <c r="L170" s="391"/>
      <c r="M170" s="391"/>
      <c r="N170" s="391"/>
      <c r="O170" s="391"/>
    </row>
    <row r="171" spans="1:15" ht="14.25">
      <c r="A171" s="388"/>
      <c r="B171" s="388"/>
      <c r="C171" s="339"/>
      <c r="D171" s="339"/>
      <c r="E171" s="339"/>
      <c r="F171" s="388"/>
      <c r="G171" s="388"/>
      <c r="H171" s="388"/>
      <c r="I171" s="388"/>
      <c r="J171" s="388"/>
      <c r="L171" s="391"/>
      <c r="M171" s="391"/>
      <c r="N171" s="391"/>
      <c r="O171" s="391"/>
    </row>
    <row r="172" spans="1:15" ht="14.25">
      <c r="A172" s="388"/>
      <c r="B172" s="388"/>
      <c r="C172" s="339"/>
      <c r="D172" s="339"/>
      <c r="E172" s="339"/>
      <c r="F172" s="388"/>
      <c r="G172" s="388"/>
      <c r="H172" s="388"/>
      <c r="I172" s="388"/>
      <c r="J172" s="388"/>
      <c r="L172" s="391"/>
      <c r="M172" s="391"/>
      <c r="N172" s="391"/>
      <c r="O172" s="391"/>
    </row>
    <row r="173" spans="1:15" ht="14.25">
      <c r="A173" s="388"/>
      <c r="B173" s="388"/>
      <c r="C173" s="339"/>
      <c r="D173" s="339"/>
      <c r="E173" s="339"/>
      <c r="F173" s="388"/>
      <c r="G173" s="388"/>
      <c r="H173" s="388"/>
      <c r="I173" s="388"/>
      <c r="J173" s="388"/>
      <c r="L173" s="391"/>
      <c r="M173" s="391"/>
      <c r="N173" s="391"/>
      <c r="O173" s="391"/>
    </row>
    <row r="174" spans="1:15" ht="14.25">
      <c r="A174" s="388"/>
      <c r="B174" s="388"/>
      <c r="C174" s="339"/>
      <c r="D174" s="339"/>
      <c r="E174" s="339"/>
      <c r="F174" s="388"/>
      <c r="G174" s="388"/>
      <c r="H174" s="388"/>
      <c r="I174" s="388"/>
      <c r="J174" s="388"/>
      <c r="L174" s="391"/>
      <c r="M174" s="391"/>
      <c r="N174" s="391"/>
      <c r="O174" s="391"/>
    </row>
    <row r="175" spans="1:15" ht="14.25">
      <c r="A175" s="388"/>
      <c r="B175" s="388"/>
      <c r="C175" s="339"/>
      <c r="D175" s="339"/>
      <c r="E175" s="339"/>
      <c r="F175" s="388"/>
      <c r="G175" s="388"/>
      <c r="H175" s="388"/>
      <c r="I175" s="388"/>
      <c r="J175" s="388"/>
      <c r="L175" s="391"/>
      <c r="M175" s="391"/>
      <c r="N175" s="391"/>
      <c r="O175" s="391"/>
    </row>
    <row r="176" spans="1:15" ht="14.25">
      <c r="A176" s="388"/>
      <c r="B176" s="388"/>
      <c r="C176" s="339"/>
      <c r="D176" s="339"/>
      <c r="E176" s="339"/>
      <c r="F176" s="388"/>
      <c r="G176" s="388"/>
      <c r="H176" s="388"/>
      <c r="I176" s="388"/>
      <c r="J176" s="388"/>
      <c r="L176" s="391"/>
      <c r="M176" s="391"/>
      <c r="N176" s="391"/>
      <c r="O176" s="391"/>
    </row>
    <row r="177" spans="1:15" ht="14.25">
      <c r="A177" s="388"/>
      <c r="B177" s="388"/>
      <c r="C177" s="339"/>
      <c r="D177" s="339"/>
      <c r="E177" s="339"/>
      <c r="F177" s="388"/>
      <c r="G177" s="388"/>
      <c r="H177" s="388"/>
      <c r="I177" s="388"/>
      <c r="J177" s="388"/>
      <c r="L177" s="391"/>
      <c r="M177" s="391"/>
      <c r="N177" s="391"/>
      <c r="O177" s="391"/>
    </row>
    <row r="178" spans="1:15" ht="14.25">
      <c r="A178" s="388"/>
      <c r="B178" s="388"/>
      <c r="C178" s="339"/>
      <c r="D178" s="339"/>
      <c r="E178" s="339"/>
      <c r="F178" s="388"/>
      <c r="G178" s="388"/>
      <c r="H178" s="388"/>
      <c r="I178" s="388"/>
      <c r="J178" s="388"/>
      <c r="L178" s="391"/>
      <c r="M178" s="391"/>
      <c r="N178" s="391"/>
      <c r="O178" s="391"/>
    </row>
    <row r="179" spans="1:15" ht="14.25">
      <c r="A179" s="388"/>
      <c r="B179" s="388"/>
      <c r="C179" s="339"/>
      <c r="D179" s="339"/>
      <c r="E179" s="339"/>
      <c r="F179" s="388"/>
      <c r="G179" s="388"/>
      <c r="H179" s="388"/>
      <c r="I179" s="388"/>
      <c r="J179" s="388"/>
      <c r="L179" s="391"/>
      <c r="M179" s="391"/>
      <c r="N179" s="391"/>
      <c r="O179" s="391"/>
    </row>
    <row r="180" spans="1:15" ht="14.25">
      <c r="A180" s="388"/>
      <c r="B180" s="388"/>
      <c r="C180" s="339"/>
      <c r="D180" s="339"/>
      <c r="E180" s="339"/>
      <c r="F180" s="388"/>
      <c r="G180" s="388"/>
      <c r="H180" s="388"/>
      <c r="I180" s="388"/>
      <c r="J180" s="388"/>
      <c r="L180" s="391"/>
      <c r="M180" s="391"/>
      <c r="N180" s="391"/>
      <c r="O180" s="391"/>
    </row>
    <row r="181" spans="1:15" ht="14.25">
      <c r="A181" s="388"/>
      <c r="B181" s="388"/>
      <c r="C181" s="339"/>
      <c r="D181" s="339"/>
      <c r="E181" s="339"/>
      <c r="F181" s="388"/>
      <c r="G181" s="388"/>
      <c r="H181" s="388"/>
      <c r="I181" s="388"/>
      <c r="J181" s="388"/>
      <c r="L181" s="391"/>
      <c r="M181" s="391"/>
      <c r="N181" s="391"/>
      <c r="O181" s="391"/>
    </row>
    <row r="182" spans="1:15" ht="14.25">
      <c r="A182" s="388"/>
      <c r="B182" s="388"/>
      <c r="C182" s="339"/>
      <c r="D182" s="339"/>
      <c r="E182" s="339"/>
      <c r="F182" s="388"/>
      <c r="G182" s="388"/>
      <c r="H182" s="388"/>
      <c r="I182" s="388"/>
      <c r="J182" s="388"/>
      <c r="L182" s="391"/>
      <c r="M182" s="391"/>
      <c r="N182" s="391"/>
      <c r="O182" s="391"/>
    </row>
    <row r="183" spans="1:15" ht="14.25">
      <c r="A183" s="388"/>
      <c r="B183" s="388"/>
      <c r="C183" s="339"/>
      <c r="D183" s="339"/>
      <c r="E183" s="339"/>
      <c r="F183" s="388"/>
      <c r="G183" s="388"/>
      <c r="H183" s="388"/>
      <c r="I183" s="388"/>
      <c r="J183" s="388"/>
      <c r="L183" s="391"/>
      <c r="M183" s="391"/>
      <c r="N183" s="391"/>
      <c r="O183" s="391"/>
    </row>
    <row r="184" spans="1:15" ht="14.25">
      <c r="A184" s="388"/>
      <c r="B184" s="388"/>
      <c r="C184" s="339"/>
      <c r="D184" s="339"/>
      <c r="E184" s="339"/>
      <c r="F184" s="388"/>
      <c r="G184" s="388"/>
      <c r="H184" s="388"/>
      <c r="I184" s="388"/>
      <c r="J184" s="388"/>
      <c r="L184" s="391"/>
      <c r="M184" s="391"/>
      <c r="N184" s="391"/>
      <c r="O184" s="391"/>
    </row>
    <row r="185" spans="1:15" ht="14.25">
      <c r="A185" s="388"/>
      <c r="B185" s="388"/>
      <c r="C185" s="339"/>
      <c r="D185" s="339"/>
      <c r="E185" s="339"/>
      <c r="F185" s="388"/>
      <c r="G185" s="388"/>
      <c r="H185" s="388"/>
      <c r="I185" s="388"/>
      <c r="J185" s="388"/>
      <c r="L185" s="391"/>
      <c r="M185" s="391"/>
      <c r="N185" s="391"/>
      <c r="O185" s="391"/>
    </row>
    <row r="186" spans="1:15" ht="14.25">
      <c r="A186" s="388"/>
      <c r="B186" s="388"/>
      <c r="C186" s="339"/>
      <c r="D186" s="339"/>
      <c r="E186" s="339"/>
      <c r="F186" s="388"/>
      <c r="G186" s="388"/>
      <c r="H186" s="388"/>
      <c r="I186" s="388"/>
      <c r="J186" s="388"/>
      <c r="L186" s="391"/>
      <c r="M186" s="391"/>
      <c r="N186" s="391"/>
      <c r="O186" s="391"/>
    </row>
    <row r="187" spans="1:15" ht="14.25">
      <c r="A187" s="388"/>
      <c r="B187" s="388"/>
      <c r="C187" s="339"/>
      <c r="D187" s="339"/>
      <c r="E187" s="339"/>
      <c r="F187" s="388"/>
      <c r="G187" s="388"/>
      <c r="H187" s="388"/>
      <c r="I187" s="388"/>
      <c r="J187" s="388"/>
      <c r="L187" s="391"/>
      <c r="M187" s="391"/>
      <c r="N187" s="391"/>
      <c r="O187" s="391"/>
    </row>
    <row r="188" spans="1:15" ht="14.25">
      <c r="A188" s="388"/>
      <c r="B188" s="388"/>
      <c r="C188" s="339"/>
      <c r="D188" s="339"/>
      <c r="E188" s="339"/>
      <c r="F188" s="388"/>
      <c r="G188" s="388"/>
      <c r="H188" s="388"/>
      <c r="I188" s="388"/>
      <c r="J188" s="388"/>
      <c r="L188" s="391"/>
      <c r="M188" s="391"/>
      <c r="N188" s="391"/>
      <c r="O188" s="391"/>
    </row>
    <row r="189" spans="1:15" ht="14.25">
      <c r="A189" s="388"/>
      <c r="B189" s="388"/>
      <c r="C189" s="339"/>
      <c r="D189" s="339"/>
      <c r="E189" s="339"/>
      <c r="F189" s="388"/>
      <c r="G189" s="388"/>
      <c r="H189" s="388"/>
      <c r="I189" s="388"/>
      <c r="J189" s="388"/>
      <c r="L189" s="391"/>
      <c r="M189" s="391"/>
      <c r="N189" s="391"/>
      <c r="O189" s="391"/>
    </row>
    <row r="190" spans="1:15" ht="14.25">
      <c r="A190" s="388"/>
      <c r="B190" s="388"/>
      <c r="C190" s="339"/>
      <c r="D190" s="339"/>
      <c r="E190" s="339"/>
      <c r="F190" s="388"/>
      <c r="G190" s="388"/>
      <c r="H190" s="388"/>
      <c r="I190" s="388"/>
      <c r="J190" s="388"/>
      <c r="L190" s="391"/>
      <c r="M190" s="391"/>
      <c r="N190" s="391"/>
      <c r="O190" s="391"/>
    </row>
    <row r="191" spans="1:15" ht="14.25">
      <c r="A191" s="388"/>
      <c r="B191" s="388"/>
      <c r="C191" s="339"/>
      <c r="D191" s="339"/>
      <c r="E191" s="339"/>
      <c r="F191" s="388"/>
      <c r="G191" s="388"/>
      <c r="H191" s="388"/>
      <c r="I191" s="388"/>
      <c r="J191" s="388"/>
      <c r="L191" s="391"/>
      <c r="M191" s="391"/>
      <c r="N191" s="391"/>
      <c r="O191" s="391"/>
    </row>
    <row r="192" spans="1:15" ht="14.25">
      <c r="A192" s="388"/>
      <c r="B192" s="388"/>
      <c r="C192" s="339"/>
      <c r="D192" s="339"/>
      <c r="E192" s="339"/>
      <c r="F192" s="388"/>
      <c r="G192" s="388"/>
      <c r="H192" s="388"/>
      <c r="I192" s="388"/>
      <c r="J192" s="388"/>
      <c r="L192" s="391"/>
      <c r="M192" s="391"/>
      <c r="N192" s="391"/>
      <c r="O192" s="391"/>
    </row>
    <row r="193" spans="1:15" ht="14.25">
      <c r="A193" s="388"/>
      <c r="B193" s="388"/>
      <c r="C193" s="339"/>
      <c r="D193" s="339"/>
      <c r="E193" s="339"/>
      <c r="F193" s="388"/>
      <c r="G193" s="388"/>
      <c r="H193" s="388"/>
      <c r="I193" s="388"/>
      <c r="J193" s="388"/>
      <c r="L193" s="391"/>
      <c r="M193" s="391"/>
      <c r="N193" s="391"/>
      <c r="O193" s="391"/>
    </row>
    <row r="194" spans="1:15" ht="14.25">
      <c r="A194" s="388"/>
      <c r="B194" s="388"/>
      <c r="C194" s="339"/>
      <c r="D194" s="339"/>
      <c r="E194" s="339"/>
      <c r="F194" s="388"/>
      <c r="G194" s="388"/>
      <c r="H194" s="388"/>
      <c r="I194" s="388"/>
      <c r="J194" s="388"/>
      <c r="L194" s="391"/>
      <c r="M194" s="391"/>
      <c r="N194" s="391"/>
      <c r="O194" s="391"/>
    </row>
    <row r="195" spans="1:15" ht="14.25">
      <c r="A195" s="388"/>
      <c r="B195" s="388"/>
      <c r="C195" s="339"/>
      <c r="D195" s="339"/>
      <c r="E195" s="339"/>
      <c r="F195" s="388"/>
      <c r="G195" s="388"/>
      <c r="H195" s="388"/>
      <c r="I195" s="388"/>
      <c r="J195" s="388"/>
      <c r="L195" s="391"/>
      <c r="M195" s="391"/>
      <c r="N195" s="391"/>
      <c r="O195" s="391"/>
    </row>
    <row r="196" spans="1:15" ht="14.25">
      <c r="A196" s="388"/>
      <c r="B196" s="388"/>
      <c r="C196" s="339"/>
      <c r="D196" s="339"/>
      <c r="E196" s="339"/>
      <c r="F196" s="388"/>
      <c r="G196" s="388"/>
      <c r="H196" s="388"/>
      <c r="I196" s="388"/>
      <c r="J196" s="388"/>
      <c r="L196" s="391"/>
      <c r="M196" s="391"/>
      <c r="N196" s="391"/>
      <c r="O196" s="391"/>
    </row>
    <row r="197" spans="1:15" ht="14.25">
      <c r="A197" s="388"/>
      <c r="B197" s="388"/>
      <c r="C197" s="339"/>
      <c r="D197" s="339"/>
      <c r="E197" s="339"/>
      <c r="F197" s="388"/>
      <c r="G197" s="388"/>
      <c r="H197" s="388"/>
      <c r="I197" s="388"/>
      <c r="J197" s="388"/>
      <c r="L197" s="391"/>
      <c r="M197" s="391"/>
      <c r="N197" s="391"/>
      <c r="O197" s="391"/>
    </row>
    <row r="198" spans="1:15" ht="14.25">
      <c r="A198" s="388"/>
      <c r="B198" s="388"/>
      <c r="C198" s="339"/>
      <c r="D198" s="339"/>
      <c r="E198" s="339"/>
      <c r="F198" s="388"/>
      <c r="G198" s="388"/>
      <c r="H198" s="388"/>
      <c r="I198" s="388"/>
      <c r="J198" s="388"/>
      <c r="L198" s="391"/>
      <c r="M198" s="391"/>
      <c r="N198" s="391"/>
      <c r="O198" s="391"/>
    </row>
    <row r="199" spans="1:15" ht="14.25">
      <c r="A199" s="388"/>
      <c r="B199" s="388"/>
      <c r="C199" s="339"/>
      <c r="D199" s="339"/>
      <c r="E199" s="339"/>
      <c r="F199" s="388"/>
      <c r="G199" s="388"/>
      <c r="H199" s="388"/>
      <c r="I199" s="388"/>
      <c r="J199" s="388"/>
      <c r="L199" s="391"/>
      <c r="M199" s="391"/>
      <c r="N199" s="391"/>
      <c r="O199" s="391"/>
    </row>
    <row r="200" spans="1:15" ht="14.25">
      <c r="A200" s="388"/>
      <c r="B200" s="388"/>
      <c r="C200" s="339"/>
      <c r="D200" s="339"/>
      <c r="E200" s="339"/>
      <c r="F200" s="388"/>
      <c r="G200" s="388"/>
      <c r="H200" s="388"/>
      <c r="I200" s="388"/>
      <c r="J200" s="388"/>
      <c r="L200" s="391"/>
      <c r="M200" s="391"/>
      <c r="N200" s="391"/>
      <c r="O200" s="391"/>
    </row>
    <row r="201" spans="1:15" ht="14.25">
      <c r="A201" s="388"/>
      <c r="B201" s="388"/>
      <c r="C201" s="339"/>
      <c r="D201" s="339"/>
      <c r="E201" s="339"/>
      <c r="F201" s="388"/>
      <c r="G201" s="388"/>
      <c r="H201" s="388"/>
      <c r="I201" s="388"/>
      <c r="J201" s="388"/>
      <c r="L201" s="391"/>
      <c r="M201" s="391"/>
      <c r="N201" s="391"/>
      <c r="O201" s="391"/>
    </row>
    <row r="202" spans="1:15" ht="14.25">
      <c r="A202" s="388"/>
      <c r="B202" s="388"/>
      <c r="C202" s="339"/>
      <c r="D202" s="339"/>
      <c r="E202" s="339"/>
      <c r="F202" s="388"/>
      <c r="G202" s="388"/>
      <c r="H202" s="388"/>
      <c r="I202" s="388"/>
      <c r="J202" s="388"/>
      <c r="L202" s="391"/>
      <c r="M202" s="391"/>
      <c r="N202" s="391"/>
      <c r="O202" s="391"/>
    </row>
    <row r="203" spans="1:15" ht="14.25">
      <c r="A203" s="388"/>
      <c r="B203" s="388"/>
      <c r="C203" s="339"/>
      <c r="D203" s="339"/>
      <c r="E203" s="339"/>
      <c r="F203" s="388"/>
      <c r="G203" s="388"/>
      <c r="H203" s="388"/>
      <c r="I203" s="388"/>
      <c r="J203" s="388"/>
      <c r="L203" s="391"/>
      <c r="M203" s="391"/>
      <c r="N203" s="391"/>
      <c r="O203" s="391"/>
    </row>
    <row r="204" spans="1:15" ht="14.25">
      <c r="A204" s="388"/>
      <c r="B204" s="388"/>
      <c r="C204" s="339"/>
      <c r="D204" s="339"/>
      <c r="E204" s="339"/>
      <c r="F204" s="388"/>
      <c r="G204" s="388"/>
      <c r="H204" s="388"/>
      <c r="I204" s="388"/>
      <c r="J204" s="388"/>
      <c r="L204" s="391"/>
      <c r="M204" s="391"/>
      <c r="N204" s="391"/>
      <c r="O204" s="391"/>
    </row>
    <row r="205" spans="1:15" ht="14.25">
      <c r="A205" s="388"/>
      <c r="B205" s="388"/>
      <c r="C205" s="339"/>
      <c r="D205" s="339"/>
      <c r="E205" s="339"/>
      <c r="F205" s="388"/>
      <c r="G205" s="388"/>
      <c r="H205" s="388"/>
      <c r="I205" s="388"/>
      <c r="J205" s="388"/>
      <c r="L205" s="391"/>
      <c r="M205" s="391"/>
      <c r="N205" s="391"/>
      <c r="O205" s="391"/>
    </row>
    <row r="206" spans="1:15" ht="14.25">
      <c r="A206" s="388"/>
      <c r="B206" s="388"/>
      <c r="C206" s="339"/>
      <c r="D206" s="339"/>
      <c r="E206" s="339"/>
      <c r="F206" s="388"/>
      <c r="G206" s="388"/>
      <c r="H206" s="388"/>
      <c r="I206" s="388"/>
      <c r="J206" s="388"/>
      <c r="L206" s="391"/>
      <c r="M206" s="391"/>
      <c r="N206" s="391"/>
      <c r="O206" s="391"/>
    </row>
    <row r="207" spans="1:15" ht="14.25">
      <c r="A207" s="388"/>
      <c r="B207" s="388"/>
      <c r="C207" s="339"/>
      <c r="D207" s="339"/>
      <c r="E207" s="339"/>
      <c r="F207" s="388"/>
      <c r="G207" s="388"/>
      <c r="H207" s="388"/>
      <c r="I207" s="388"/>
      <c r="J207" s="388"/>
      <c r="L207" s="391"/>
      <c r="M207" s="391"/>
      <c r="N207" s="391"/>
      <c r="O207" s="391"/>
    </row>
    <row r="208" spans="1:15" ht="14.25">
      <c r="A208" s="388"/>
      <c r="B208" s="388"/>
      <c r="C208" s="339"/>
      <c r="D208" s="339"/>
      <c r="E208" s="339"/>
      <c r="F208" s="388"/>
      <c r="G208" s="388"/>
      <c r="H208" s="388"/>
      <c r="I208" s="388"/>
      <c r="J208" s="388"/>
      <c r="L208" s="391"/>
      <c r="M208" s="391"/>
      <c r="N208" s="391"/>
      <c r="O208" s="391"/>
    </row>
    <row r="209" spans="1:15" ht="14.25">
      <c r="A209" s="388"/>
      <c r="B209" s="388"/>
      <c r="C209" s="339"/>
      <c r="D209" s="339"/>
      <c r="E209" s="339"/>
      <c r="F209" s="388"/>
      <c r="G209" s="388"/>
      <c r="H209" s="388"/>
      <c r="I209" s="388"/>
      <c r="J209" s="388"/>
      <c r="L209" s="391"/>
      <c r="M209" s="391"/>
      <c r="N209" s="391"/>
      <c r="O209" s="391"/>
    </row>
    <row r="210" spans="1:15" ht="14.25">
      <c r="A210" s="388"/>
      <c r="B210" s="388"/>
      <c r="C210" s="339"/>
      <c r="D210" s="339"/>
      <c r="E210" s="339"/>
      <c r="F210" s="388"/>
      <c r="G210" s="388"/>
      <c r="H210" s="388"/>
      <c r="I210" s="388"/>
      <c r="J210" s="388"/>
      <c r="L210" s="391"/>
      <c r="M210" s="391"/>
      <c r="N210" s="391"/>
      <c r="O210" s="391"/>
    </row>
    <row r="211" spans="1:15" ht="14.25">
      <c r="A211" s="388"/>
      <c r="B211" s="388"/>
      <c r="C211" s="339"/>
      <c r="D211" s="339"/>
      <c r="E211" s="339"/>
      <c r="F211" s="388"/>
      <c r="G211" s="388"/>
      <c r="H211" s="388"/>
      <c r="I211" s="388"/>
      <c r="J211" s="388"/>
      <c r="L211" s="391"/>
      <c r="M211" s="391"/>
      <c r="N211" s="391"/>
      <c r="O211" s="391"/>
    </row>
    <row r="212" spans="1:15" ht="14.25">
      <c r="A212" s="388"/>
      <c r="B212" s="388"/>
      <c r="C212" s="339"/>
      <c r="D212" s="339"/>
      <c r="E212" s="339"/>
      <c r="F212" s="388"/>
      <c r="G212" s="388"/>
      <c r="H212" s="388"/>
      <c r="I212" s="388"/>
      <c r="J212" s="388"/>
      <c r="L212" s="391"/>
      <c r="M212" s="391"/>
      <c r="N212" s="391"/>
      <c r="O212" s="391"/>
    </row>
    <row r="213" spans="1:15" ht="14.25">
      <c r="A213" s="388"/>
      <c r="B213" s="388"/>
      <c r="C213" s="339"/>
      <c r="D213" s="339"/>
      <c r="E213" s="339"/>
      <c r="F213" s="388"/>
      <c r="G213" s="388"/>
      <c r="H213" s="388"/>
      <c r="I213" s="388"/>
      <c r="J213" s="388"/>
      <c r="L213" s="391"/>
      <c r="M213" s="391"/>
      <c r="N213" s="391"/>
      <c r="O213" s="391"/>
    </row>
    <row r="214" spans="1:15" ht="14.25">
      <c r="A214" s="388"/>
      <c r="B214" s="388"/>
      <c r="C214" s="339"/>
      <c r="D214" s="339"/>
      <c r="E214" s="339"/>
      <c r="F214" s="388"/>
      <c r="G214" s="388"/>
      <c r="H214" s="388"/>
      <c r="I214" s="388"/>
      <c r="J214" s="388"/>
      <c r="L214" s="391"/>
      <c r="M214" s="391"/>
      <c r="N214" s="391"/>
      <c r="O214" s="391"/>
    </row>
    <row r="215" spans="1:15" ht="14.25">
      <c r="A215" s="388"/>
      <c r="B215" s="388"/>
      <c r="C215" s="339"/>
      <c r="D215" s="339"/>
      <c r="E215" s="339"/>
      <c r="F215" s="388"/>
      <c r="G215" s="388"/>
      <c r="H215" s="388"/>
      <c r="I215" s="388"/>
      <c r="J215" s="388"/>
      <c r="L215" s="391"/>
      <c r="M215" s="391"/>
      <c r="N215" s="391"/>
      <c r="O215" s="391"/>
    </row>
    <row r="216" spans="1:15" ht="14.25">
      <c r="A216" s="388"/>
      <c r="B216" s="388"/>
      <c r="C216" s="339"/>
      <c r="D216" s="339"/>
      <c r="E216" s="339"/>
      <c r="F216" s="388"/>
      <c r="G216" s="388"/>
      <c r="H216" s="388"/>
      <c r="I216" s="388"/>
      <c r="J216" s="388"/>
      <c r="L216" s="391"/>
      <c r="M216" s="391"/>
      <c r="N216" s="391"/>
      <c r="O216" s="391"/>
    </row>
    <row r="217" spans="1:15" ht="14.25">
      <c r="A217" s="388"/>
      <c r="B217" s="388"/>
      <c r="C217" s="339"/>
      <c r="D217" s="339"/>
      <c r="E217" s="339"/>
      <c r="F217" s="388"/>
      <c r="G217" s="388"/>
      <c r="H217" s="388"/>
      <c r="I217" s="388"/>
      <c r="J217" s="388"/>
      <c r="L217" s="391"/>
      <c r="M217" s="391"/>
      <c r="N217" s="391"/>
      <c r="O217" s="391"/>
    </row>
    <row r="218" spans="1:15" ht="14.25">
      <c r="A218" s="388"/>
      <c r="B218" s="388"/>
      <c r="C218" s="339"/>
      <c r="D218" s="339"/>
      <c r="E218" s="339"/>
      <c r="F218" s="388"/>
      <c r="G218" s="388"/>
      <c r="H218" s="388"/>
      <c r="I218" s="388"/>
      <c r="J218" s="388"/>
      <c r="L218" s="391"/>
      <c r="M218" s="391"/>
      <c r="N218" s="391"/>
      <c r="O218" s="391"/>
    </row>
    <row r="219" spans="1:15" ht="14.25">
      <c r="A219" s="388"/>
      <c r="B219" s="388"/>
      <c r="C219" s="339"/>
      <c r="D219" s="339"/>
      <c r="E219" s="339"/>
      <c r="F219" s="388"/>
      <c r="G219" s="388"/>
      <c r="H219" s="388"/>
      <c r="I219" s="388"/>
      <c r="J219" s="388"/>
      <c r="L219" s="391"/>
      <c r="M219" s="391"/>
      <c r="N219" s="391"/>
      <c r="O219" s="391"/>
    </row>
    <row r="220" spans="1:15" ht="14.25">
      <c r="A220" s="388"/>
      <c r="B220" s="388"/>
      <c r="C220" s="339"/>
      <c r="D220" s="339"/>
      <c r="E220" s="339"/>
      <c r="F220" s="388"/>
      <c r="G220" s="388"/>
      <c r="H220" s="388"/>
      <c r="I220" s="388"/>
      <c r="J220" s="388"/>
      <c r="L220" s="391"/>
      <c r="M220" s="391"/>
      <c r="N220" s="391"/>
      <c r="O220" s="391"/>
    </row>
    <row r="221" spans="1:15" ht="14.25">
      <c r="A221" s="388"/>
      <c r="B221" s="388"/>
      <c r="C221" s="339"/>
      <c r="D221" s="339"/>
      <c r="E221" s="339"/>
      <c r="F221" s="388"/>
      <c r="G221" s="388"/>
      <c r="H221" s="388"/>
      <c r="I221" s="388"/>
      <c r="J221" s="388"/>
      <c r="L221" s="391"/>
      <c r="M221" s="391"/>
      <c r="N221" s="391"/>
      <c r="O221" s="391"/>
    </row>
    <row r="222" spans="1:15" ht="14.25">
      <c r="A222" s="388"/>
      <c r="B222" s="388"/>
      <c r="C222" s="339"/>
      <c r="D222" s="339"/>
      <c r="E222" s="339"/>
      <c r="F222" s="388"/>
      <c r="G222" s="388"/>
      <c r="H222" s="388"/>
      <c r="I222" s="388"/>
      <c r="J222" s="388"/>
      <c r="L222" s="391"/>
      <c r="M222" s="391"/>
      <c r="N222" s="391"/>
      <c r="O222" s="391"/>
    </row>
    <row r="223" spans="1:15" ht="14.25">
      <c r="A223" s="388"/>
      <c r="B223" s="388"/>
      <c r="C223" s="339"/>
      <c r="D223" s="339"/>
      <c r="E223" s="339"/>
      <c r="F223" s="388"/>
      <c r="G223" s="388"/>
      <c r="H223" s="388"/>
      <c r="I223" s="388"/>
      <c r="J223" s="388"/>
      <c r="L223" s="391"/>
      <c r="M223" s="391"/>
      <c r="N223" s="391"/>
      <c r="O223" s="391"/>
    </row>
    <row r="224" spans="1:15" ht="14.25">
      <c r="A224" s="388"/>
      <c r="B224" s="388"/>
      <c r="C224" s="339"/>
      <c r="D224" s="339"/>
      <c r="E224" s="339"/>
      <c r="F224" s="388"/>
      <c r="G224" s="388"/>
      <c r="H224" s="388"/>
      <c r="I224" s="388"/>
      <c r="J224" s="388"/>
      <c r="L224" s="391"/>
      <c r="M224" s="391"/>
      <c r="N224" s="391"/>
      <c r="O224" s="391"/>
    </row>
    <row r="225" spans="1:15" ht="14.25">
      <c r="A225" s="388"/>
      <c r="B225" s="388"/>
      <c r="C225" s="339"/>
      <c r="D225" s="339"/>
      <c r="E225" s="339"/>
      <c r="F225" s="388"/>
      <c r="G225" s="388"/>
      <c r="H225" s="388"/>
      <c r="I225" s="388"/>
      <c r="J225" s="388"/>
      <c r="L225" s="391"/>
      <c r="M225" s="391"/>
      <c r="N225" s="391"/>
      <c r="O225" s="391"/>
    </row>
    <row r="226" spans="1:15" ht="14.25">
      <c r="A226" s="388"/>
      <c r="B226" s="388"/>
      <c r="C226" s="339"/>
      <c r="D226" s="339"/>
      <c r="E226" s="339"/>
      <c r="F226" s="388"/>
      <c r="G226" s="388"/>
      <c r="H226" s="388"/>
      <c r="I226" s="388"/>
      <c r="J226" s="388"/>
      <c r="L226" s="391"/>
      <c r="M226" s="391"/>
      <c r="N226" s="391"/>
      <c r="O226" s="391"/>
    </row>
    <row r="227" spans="1:15" ht="14.25">
      <c r="A227" s="388"/>
      <c r="B227" s="388"/>
      <c r="C227" s="339"/>
      <c r="D227" s="339"/>
      <c r="E227" s="339"/>
      <c r="F227" s="388"/>
      <c r="G227" s="388"/>
      <c r="H227" s="388"/>
      <c r="I227" s="388"/>
      <c r="J227" s="388"/>
      <c r="L227" s="391"/>
      <c r="M227" s="391"/>
      <c r="N227" s="391"/>
      <c r="O227" s="391"/>
    </row>
    <row r="228" spans="1:15" ht="14.25">
      <c r="A228" s="388"/>
      <c r="B228" s="388"/>
      <c r="C228" s="339"/>
      <c r="D228" s="339"/>
      <c r="E228" s="339"/>
      <c r="F228" s="388"/>
      <c r="G228" s="388"/>
      <c r="H228" s="388"/>
      <c r="I228" s="388"/>
      <c r="J228" s="388"/>
      <c r="L228" s="391"/>
      <c r="M228" s="391"/>
      <c r="N228" s="391"/>
      <c r="O228" s="391"/>
    </row>
    <row r="229" spans="1:15" ht="14.25">
      <c r="A229" s="388"/>
      <c r="B229" s="388"/>
      <c r="C229" s="339"/>
      <c r="D229" s="339"/>
      <c r="E229" s="339"/>
      <c r="F229" s="388"/>
      <c r="G229" s="388"/>
      <c r="H229" s="388"/>
      <c r="I229" s="388"/>
      <c r="J229" s="388"/>
      <c r="L229" s="391"/>
      <c r="M229" s="391"/>
      <c r="N229" s="391"/>
      <c r="O229" s="391"/>
    </row>
    <row r="230" spans="1:15" ht="14.25">
      <c r="A230" s="388"/>
      <c r="B230" s="388"/>
      <c r="C230" s="339"/>
      <c r="D230" s="339"/>
      <c r="E230" s="339"/>
      <c r="F230" s="388"/>
      <c r="G230" s="388"/>
      <c r="H230" s="388"/>
      <c r="I230" s="388"/>
      <c r="J230" s="388"/>
      <c r="L230" s="391"/>
      <c r="M230" s="391"/>
      <c r="N230" s="391"/>
      <c r="O230" s="391"/>
    </row>
    <row r="231" spans="1:15" ht="14.25">
      <c r="A231" s="388"/>
      <c r="B231" s="388"/>
      <c r="C231" s="339"/>
      <c r="D231" s="339"/>
      <c r="E231" s="339"/>
      <c r="F231" s="388"/>
      <c r="G231" s="388"/>
      <c r="H231" s="388"/>
      <c r="I231" s="388"/>
      <c r="J231" s="388"/>
      <c r="L231" s="391"/>
      <c r="M231" s="391"/>
      <c r="N231" s="391"/>
      <c r="O231" s="391"/>
    </row>
    <row r="232" spans="1:15" ht="14.25">
      <c r="A232" s="388"/>
      <c r="B232" s="388"/>
      <c r="C232" s="339"/>
      <c r="D232" s="339"/>
      <c r="E232" s="339"/>
      <c r="F232" s="388"/>
      <c r="G232" s="388"/>
      <c r="H232" s="388"/>
      <c r="I232" s="388"/>
      <c r="J232" s="388"/>
      <c r="L232" s="391"/>
      <c r="M232" s="391"/>
      <c r="N232" s="391"/>
      <c r="O232" s="391"/>
    </row>
    <row r="233" spans="1:15" ht="14.25">
      <c r="A233" s="388"/>
      <c r="B233" s="388"/>
      <c r="C233" s="339"/>
      <c r="D233" s="339"/>
      <c r="E233" s="339"/>
      <c r="F233" s="388"/>
      <c r="G233" s="388"/>
      <c r="H233" s="388"/>
      <c r="I233" s="388"/>
      <c r="J233" s="388"/>
      <c r="L233" s="391"/>
      <c r="M233" s="391"/>
      <c r="N233" s="391"/>
      <c r="O233" s="391"/>
    </row>
    <row r="234" spans="1:15" ht="14.25">
      <c r="A234" s="388"/>
      <c r="B234" s="388"/>
      <c r="C234" s="339"/>
      <c r="D234" s="339"/>
      <c r="E234" s="339"/>
      <c r="F234" s="388"/>
      <c r="G234" s="388"/>
      <c r="H234" s="388"/>
      <c r="I234" s="388"/>
      <c r="J234" s="388"/>
      <c r="L234" s="391"/>
      <c r="M234" s="391"/>
      <c r="N234" s="391"/>
      <c r="O234" s="391"/>
    </row>
    <row r="235" spans="1:15" ht="14.25">
      <c r="A235" s="388"/>
      <c r="B235" s="388"/>
      <c r="C235" s="339"/>
      <c r="D235" s="339"/>
      <c r="E235" s="339"/>
      <c r="F235" s="388"/>
      <c r="G235" s="388"/>
      <c r="H235" s="388"/>
      <c r="I235" s="388"/>
      <c r="J235" s="388"/>
      <c r="L235" s="391"/>
      <c r="M235" s="391"/>
      <c r="N235" s="391"/>
      <c r="O235" s="391"/>
    </row>
    <row r="236" spans="1:15" ht="14.25">
      <c r="A236" s="388"/>
      <c r="B236" s="388"/>
      <c r="C236" s="339"/>
      <c r="D236" s="339"/>
      <c r="E236" s="339"/>
      <c r="F236" s="388"/>
      <c r="G236" s="388"/>
      <c r="H236" s="388"/>
      <c r="I236" s="388"/>
      <c r="J236" s="388"/>
      <c r="L236" s="391"/>
      <c r="M236" s="391"/>
      <c r="N236" s="391"/>
      <c r="O236" s="391"/>
    </row>
    <row r="237" spans="1:15" ht="14.25">
      <c r="A237" s="388"/>
      <c r="B237" s="388"/>
      <c r="C237" s="339"/>
      <c r="D237" s="339"/>
      <c r="E237" s="339"/>
      <c r="F237" s="388"/>
      <c r="G237" s="388"/>
      <c r="H237" s="388"/>
      <c r="I237" s="388"/>
      <c r="J237" s="388"/>
      <c r="L237" s="391"/>
      <c r="M237" s="391"/>
      <c r="N237" s="391"/>
      <c r="O237" s="391"/>
    </row>
    <row r="238" spans="1:15" ht="14.25">
      <c r="A238" s="388"/>
      <c r="B238" s="388"/>
      <c r="C238" s="339"/>
      <c r="D238" s="339"/>
      <c r="E238" s="339"/>
      <c r="F238" s="388"/>
      <c r="G238" s="388"/>
      <c r="H238" s="388"/>
      <c r="I238" s="388"/>
      <c r="J238" s="388"/>
      <c r="L238" s="391"/>
      <c r="M238" s="391"/>
      <c r="N238" s="391"/>
      <c r="O238" s="391"/>
    </row>
    <row r="239" spans="1:15" ht="14.25">
      <c r="A239" s="388"/>
      <c r="B239" s="388"/>
      <c r="C239" s="339"/>
      <c r="D239" s="339"/>
      <c r="E239" s="339"/>
      <c r="F239" s="388"/>
      <c r="G239" s="388"/>
      <c r="H239" s="388"/>
      <c r="I239" s="388"/>
      <c r="J239" s="388"/>
      <c r="L239" s="391"/>
      <c r="M239" s="391"/>
      <c r="N239" s="391"/>
      <c r="O239" s="391"/>
    </row>
    <row r="240" spans="1:15" ht="14.25">
      <c r="A240" s="388"/>
      <c r="B240" s="388"/>
      <c r="C240" s="339"/>
      <c r="D240" s="339"/>
      <c r="E240" s="339"/>
      <c r="F240" s="388"/>
      <c r="G240" s="388"/>
      <c r="H240" s="388"/>
      <c r="I240" s="388"/>
      <c r="J240" s="388"/>
      <c r="L240" s="391"/>
      <c r="M240" s="391"/>
      <c r="N240" s="391"/>
      <c r="O240" s="391"/>
    </row>
    <row r="241" spans="1:15" ht="14.25">
      <c r="A241" s="388"/>
      <c r="B241" s="388"/>
      <c r="C241" s="339"/>
      <c r="D241" s="339"/>
      <c r="E241" s="339"/>
      <c r="F241" s="388"/>
      <c r="G241" s="388"/>
      <c r="H241" s="388"/>
      <c r="I241" s="388"/>
      <c r="J241" s="388"/>
      <c r="L241" s="391"/>
      <c r="M241" s="391"/>
      <c r="N241" s="391"/>
      <c r="O241" s="391"/>
    </row>
    <row r="242" spans="1:15" ht="14.25">
      <c r="A242" s="388"/>
      <c r="B242" s="388"/>
      <c r="C242" s="339"/>
      <c r="D242" s="339"/>
      <c r="E242" s="339"/>
      <c r="F242" s="388"/>
      <c r="G242" s="388"/>
      <c r="H242" s="388"/>
      <c r="I242" s="388"/>
      <c r="J242" s="388"/>
      <c r="L242" s="391"/>
      <c r="M242" s="391"/>
      <c r="N242" s="391"/>
      <c r="O242" s="391"/>
    </row>
    <row r="243" spans="1:15" ht="14.25">
      <c r="A243" s="388"/>
      <c r="B243" s="388"/>
      <c r="C243" s="339"/>
      <c r="D243" s="339"/>
      <c r="E243" s="339"/>
      <c r="F243" s="388"/>
      <c r="G243" s="388"/>
      <c r="H243" s="388"/>
      <c r="I243" s="388"/>
      <c r="J243" s="388"/>
      <c r="L243" s="391"/>
      <c r="M243" s="391"/>
      <c r="N243" s="391"/>
      <c r="O243" s="391"/>
    </row>
    <row r="244" spans="1:15" ht="14.25">
      <c r="A244" s="388"/>
      <c r="B244" s="388"/>
      <c r="C244" s="339"/>
      <c r="D244" s="339"/>
      <c r="E244" s="339"/>
      <c r="F244" s="388"/>
      <c r="G244" s="388"/>
      <c r="H244" s="388"/>
      <c r="I244" s="388"/>
      <c r="J244" s="388"/>
      <c r="L244" s="391"/>
      <c r="M244" s="391"/>
      <c r="N244" s="391"/>
      <c r="O244" s="391"/>
    </row>
    <row r="245" spans="1:15" ht="14.25">
      <c r="A245" s="388"/>
      <c r="B245" s="388"/>
      <c r="C245" s="339"/>
      <c r="D245" s="339"/>
      <c r="E245" s="339"/>
      <c r="F245" s="388"/>
      <c r="G245" s="388"/>
      <c r="H245" s="388"/>
      <c r="I245" s="388"/>
      <c r="J245" s="388"/>
      <c r="L245" s="391"/>
      <c r="M245" s="391"/>
      <c r="N245" s="391"/>
      <c r="O245" s="391"/>
    </row>
    <row r="246" spans="1:15" ht="14.25">
      <c r="A246" s="388"/>
      <c r="B246" s="388"/>
      <c r="C246" s="339"/>
      <c r="D246" s="339"/>
      <c r="E246" s="339"/>
      <c r="F246" s="388"/>
      <c r="G246" s="388"/>
      <c r="H246" s="388"/>
      <c r="I246" s="388"/>
      <c r="J246" s="388"/>
      <c r="L246" s="391"/>
      <c r="M246" s="391"/>
      <c r="N246" s="391"/>
      <c r="O246" s="391"/>
    </row>
    <row r="247" spans="1:15" ht="14.25">
      <c r="A247" s="388"/>
      <c r="B247" s="388"/>
      <c r="C247" s="339"/>
      <c r="D247" s="339"/>
      <c r="E247" s="339"/>
      <c r="F247" s="388"/>
      <c r="G247" s="388"/>
      <c r="H247" s="388"/>
      <c r="I247" s="388"/>
      <c r="J247" s="388"/>
      <c r="L247" s="391"/>
      <c r="M247" s="391"/>
      <c r="N247" s="391"/>
      <c r="O247" s="391"/>
    </row>
    <row r="248" spans="1:15" ht="14.25">
      <c r="A248" s="388"/>
      <c r="B248" s="388"/>
      <c r="C248" s="339"/>
      <c r="D248" s="339"/>
      <c r="E248" s="339"/>
      <c r="F248" s="388"/>
      <c r="G248" s="388"/>
      <c r="H248" s="388"/>
      <c r="I248" s="388"/>
      <c r="J248" s="388"/>
      <c r="L248" s="391"/>
      <c r="M248" s="391"/>
      <c r="N248" s="391"/>
      <c r="O248" s="391"/>
    </row>
    <row r="249" spans="1:15" ht="14.25">
      <c r="A249" s="388"/>
      <c r="B249" s="388"/>
      <c r="C249" s="339"/>
      <c r="D249" s="339"/>
      <c r="E249" s="339"/>
      <c r="F249" s="388"/>
      <c r="G249" s="388"/>
      <c r="H249" s="388"/>
      <c r="I249" s="388"/>
      <c r="J249" s="388"/>
      <c r="L249" s="391"/>
      <c r="M249" s="391"/>
      <c r="N249" s="391"/>
      <c r="O249" s="391"/>
    </row>
    <row r="250" spans="1:15" ht="14.25">
      <c r="A250" s="388"/>
      <c r="B250" s="388"/>
      <c r="C250" s="339"/>
      <c r="D250" s="339"/>
      <c r="E250" s="339"/>
      <c r="F250" s="388"/>
      <c r="G250" s="388"/>
      <c r="H250" s="388"/>
      <c r="I250" s="388"/>
      <c r="J250" s="388"/>
      <c r="L250" s="391"/>
      <c r="M250" s="391"/>
      <c r="N250" s="391"/>
      <c r="O250" s="391"/>
    </row>
    <row r="251" spans="1:15" ht="14.25">
      <c r="A251" s="388"/>
      <c r="B251" s="388"/>
      <c r="C251" s="339"/>
      <c r="D251" s="339"/>
      <c r="E251" s="339"/>
      <c r="F251" s="388"/>
      <c r="G251" s="388"/>
      <c r="H251" s="388"/>
      <c r="I251" s="388"/>
      <c r="J251" s="388"/>
      <c r="L251" s="391"/>
      <c r="M251" s="391"/>
      <c r="N251" s="391"/>
      <c r="O251" s="391"/>
    </row>
    <row r="252" spans="1:15" ht="14.25">
      <c r="A252" s="388"/>
      <c r="B252" s="388"/>
      <c r="C252" s="339"/>
      <c r="D252" s="339"/>
      <c r="E252" s="339"/>
      <c r="F252" s="388"/>
      <c r="G252" s="388"/>
      <c r="H252" s="388"/>
      <c r="I252" s="388"/>
      <c r="J252" s="388"/>
      <c r="L252" s="391"/>
      <c r="M252" s="391"/>
      <c r="N252" s="391"/>
      <c r="O252" s="391"/>
    </row>
    <row r="253" spans="1:15" ht="14.25">
      <c r="A253" s="388"/>
      <c r="B253" s="388"/>
      <c r="C253" s="339"/>
      <c r="D253" s="339"/>
      <c r="E253" s="339"/>
      <c r="F253" s="388"/>
      <c r="G253" s="388"/>
      <c r="H253" s="388"/>
      <c r="I253" s="388"/>
      <c r="J253" s="388"/>
      <c r="L253" s="391"/>
      <c r="M253" s="391"/>
      <c r="N253" s="391"/>
      <c r="O253" s="391"/>
    </row>
    <row r="254" spans="1:15" ht="14.25">
      <c r="A254" s="388"/>
      <c r="B254" s="388"/>
      <c r="C254" s="339"/>
      <c r="D254" s="339"/>
      <c r="E254" s="339"/>
      <c r="F254" s="388"/>
      <c r="G254" s="388"/>
      <c r="H254" s="388"/>
      <c r="I254" s="388"/>
      <c r="J254" s="388"/>
      <c r="L254" s="391"/>
      <c r="M254" s="391"/>
      <c r="N254" s="391"/>
      <c r="O254" s="391"/>
    </row>
    <row r="255" spans="1:15" ht="14.25">
      <c r="A255" s="388"/>
      <c r="B255" s="388"/>
      <c r="C255" s="339"/>
      <c r="D255" s="339"/>
      <c r="E255" s="339"/>
      <c r="F255" s="388"/>
      <c r="G255" s="388"/>
      <c r="H255" s="388"/>
      <c r="I255" s="388"/>
      <c r="J255" s="388"/>
      <c r="L255" s="391"/>
      <c r="M255" s="391"/>
      <c r="N255" s="391"/>
      <c r="O255" s="391"/>
    </row>
    <row r="256" spans="1:15" ht="14.25">
      <c r="A256" s="388"/>
      <c r="B256" s="388"/>
      <c r="C256" s="339"/>
      <c r="D256" s="339"/>
      <c r="E256" s="339"/>
      <c r="F256" s="388"/>
      <c r="G256" s="388"/>
      <c r="H256" s="388"/>
      <c r="I256" s="388"/>
      <c r="J256" s="388"/>
      <c r="L256" s="391"/>
      <c r="M256" s="391"/>
      <c r="N256" s="391"/>
      <c r="O256" s="391"/>
    </row>
    <row r="257" spans="1:15" ht="14.25">
      <c r="A257" s="388"/>
      <c r="B257" s="388"/>
      <c r="C257" s="339"/>
      <c r="D257" s="339"/>
      <c r="E257" s="339"/>
      <c r="F257" s="388"/>
      <c r="G257" s="388"/>
      <c r="H257" s="388"/>
      <c r="I257" s="388"/>
      <c r="J257" s="388"/>
      <c r="L257" s="391"/>
      <c r="M257" s="391"/>
      <c r="N257" s="391"/>
      <c r="O257" s="391"/>
    </row>
    <row r="258" spans="1:15" ht="14.25">
      <c r="A258" s="388"/>
      <c r="B258" s="388"/>
      <c r="C258" s="339"/>
      <c r="D258" s="339"/>
      <c r="E258" s="339"/>
      <c r="F258" s="388"/>
      <c r="G258" s="388"/>
      <c r="H258" s="388"/>
      <c r="I258" s="388"/>
      <c r="J258" s="388"/>
      <c r="L258" s="391"/>
      <c r="M258" s="391"/>
      <c r="N258" s="391"/>
      <c r="O258" s="391"/>
    </row>
    <row r="259" spans="1:15" ht="14.25">
      <c r="A259" s="388"/>
      <c r="B259" s="388"/>
      <c r="C259" s="339"/>
      <c r="D259" s="339"/>
      <c r="E259" s="339"/>
      <c r="F259" s="388"/>
      <c r="G259" s="388"/>
      <c r="H259" s="388"/>
      <c r="I259" s="388"/>
      <c r="J259" s="388"/>
      <c r="L259" s="391"/>
      <c r="M259" s="391"/>
      <c r="N259" s="391"/>
      <c r="O259" s="391"/>
    </row>
    <row r="260" spans="1:15" ht="14.25">
      <c r="A260" s="388"/>
      <c r="B260" s="388"/>
      <c r="C260" s="339"/>
      <c r="D260" s="339"/>
      <c r="E260" s="339"/>
      <c r="F260" s="388"/>
      <c r="G260" s="388"/>
      <c r="H260" s="388"/>
      <c r="I260" s="388"/>
      <c r="J260" s="388"/>
      <c r="L260" s="391"/>
      <c r="M260" s="391"/>
      <c r="N260" s="391"/>
      <c r="O260" s="391"/>
    </row>
    <row r="261" spans="1:15" ht="14.25">
      <c r="A261" s="388"/>
      <c r="B261" s="388"/>
      <c r="C261" s="339"/>
      <c r="D261" s="339"/>
      <c r="E261" s="339"/>
      <c r="F261" s="388"/>
      <c r="G261" s="388"/>
      <c r="H261" s="388"/>
      <c r="I261" s="388"/>
      <c r="J261" s="388"/>
      <c r="L261" s="391"/>
      <c r="M261" s="391"/>
      <c r="N261" s="391"/>
      <c r="O261" s="391"/>
    </row>
    <row r="262" spans="1:15" ht="14.25">
      <c r="A262" s="388"/>
      <c r="B262" s="388"/>
      <c r="C262" s="339"/>
      <c r="D262" s="339"/>
      <c r="E262" s="339"/>
      <c r="F262" s="388"/>
      <c r="G262" s="388"/>
      <c r="H262" s="388"/>
      <c r="I262" s="388"/>
      <c r="J262" s="388"/>
      <c r="L262" s="391"/>
      <c r="M262" s="391"/>
      <c r="N262" s="391"/>
      <c r="O262" s="391"/>
    </row>
    <row r="263" spans="1:15" ht="14.25">
      <c r="A263" s="388"/>
      <c r="B263" s="388"/>
      <c r="C263" s="339"/>
      <c r="D263" s="339"/>
      <c r="E263" s="339"/>
      <c r="F263" s="388"/>
      <c r="G263" s="388"/>
      <c r="H263" s="388"/>
      <c r="I263" s="388"/>
      <c r="J263" s="388"/>
      <c r="L263" s="391"/>
      <c r="M263" s="391"/>
      <c r="N263" s="391"/>
      <c r="O263" s="391"/>
    </row>
    <row r="264" spans="1:12" ht="14.25">
      <c r="A264" s="388"/>
      <c r="B264" s="388"/>
      <c r="C264" s="339"/>
      <c r="D264" s="339"/>
      <c r="E264" s="339"/>
      <c r="F264" s="388"/>
      <c r="G264" s="388"/>
      <c r="H264" s="388"/>
      <c r="I264" s="388"/>
      <c r="J264" s="388"/>
      <c r="L264" s="391"/>
    </row>
    <row r="265" spans="1:12" ht="14.25">
      <c r="A265" s="388"/>
      <c r="B265" s="388"/>
      <c r="C265" s="339"/>
      <c r="D265" s="339"/>
      <c r="E265" s="339"/>
      <c r="F265" s="388"/>
      <c r="G265" s="388"/>
      <c r="H265" s="388"/>
      <c r="I265" s="388"/>
      <c r="J265" s="388"/>
      <c r="L265" s="391"/>
    </row>
    <row r="266" spans="1:12" ht="14.25">
      <c r="A266" s="388"/>
      <c r="B266" s="388"/>
      <c r="C266" s="339"/>
      <c r="D266" s="339"/>
      <c r="E266" s="339"/>
      <c r="F266" s="388"/>
      <c r="G266" s="388"/>
      <c r="H266" s="388"/>
      <c r="I266" s="388"/>
      <c r="J266" s="388"/>
      <c r="L266" s="391"/>
    </row>
    <row r="267" spans="1:12" ht="14.25">
      <c r="A267" s="388"/>
      <c r="B267" s="388"/>
      <c r="C267" s="339"/>
      <c r="D267" s="339"/>
      <c r="E267" s="339"/>
      <c r="F267" s="388"/>
      <c r="G267" s="388"/>
      <c r="H267" s="388"/>
      <c r="I267" s="388"/>
      <c r="J267" s="388"/>
      <c r="L267" s="391"/>
    </row>
    <row r="268" spans="1:12" ht="14.25">
      <c r="A268" s="388"/>
      <c r="B268" s="388"/>
      <c r="C268" s="339"/>
      <c r="D268" s="339"/>
      <c r="E268" s="339"/>
      <c r="F268" s="388"/>
      <c r="G268" s="388"/>
      <c r="H268" s="388"/>
      <c r="I268" s="388"/>
      <c r="J268" s="388"/>
      <c r="L268" s="391"/>
    </row>
    <row r="269" spans="1:12" ht="14.25">
      <c r="A269" s="388"/>
      <c r="B269" s="388"/>
      <c r="C269" s="339"/>
      <c r="D269" s="339"/>
      <c r="E269" s="339"/>
      <c r="F269" s="388"/>
      <c r="G269" s="388"/>
      <c r="H269" s="388"/>
      <c r="I269" s="388"/>
      <c r="J269" s="388"/>
      <c r="L269" s="391"/>
    </row>
    <row r="270" spans="1:12" ht="14.25">
      <c r="A270" s="388"/>
      <c r="B270" s="388"/>
      <c r="C270" s="339"/>
      <c r="D270" s="339"/>
      <c r="E270" s="339"/>
      <c r="F270" s="388"/>
      <c r="G270" s="388"/>
      <c r="H270" s="388"/>
      <c r="I270" s="388"/>
      <c r="J270" s="388"/>
      <c r="L270" s="391"/>
    </row>
    <row r="271" spans="1:12" ht="14.25">
      <c r="A271" s="388"/>
      <c r="B271" s="388"/>
      <c r="C271" s="339"/>
      <c r="D271" s="339"/>
      <c r="E271" s="339"/>
      <c r="F271" s="388"/>
      <c r="G271" s="388"/>
      <c r="H271" s="388"/>
      <c r="I271" s="388"/>
      <c r="J271" s="388"/>
      <c r="L271" s="391"/>
    </row>
    <row r="272" spans="1:10" ht="14.25">
      <c r="A272" s="388"/>
      <c r="B272" s="388"/>
      <c r="C272" s="339"/>
      <c r="D272" s="339"/>
      <c r="E272" s="339"/>
      <c r="F272" s="388"/>
      <c r="G272" s="388"/>
      <c r="H272" s="388"/>
      <c r="I272" s="388"/>
      <c r="J272" s="388"/>
    </row>
    <row r="273" spans="1:10" ht="14.25">
      <c r="A273" s="388"/>
      <c r="B273" s="388"/>
      <c r="C273" s="339"/>
      <c r="D273" s="339"/>
      <c r="E273" s="339"/>
      <c r="F273" s="388"/>
      <c r="G273" s="388"/>
      <c r="H273" s="388"/>
      <c r="I273" s="388"/>
      <c r="J273" s="388"/>
    </row>
    <row r="274" spans="1:10" ht="14.25">
      <c r="A274" s="388"/>
      <c r="B274" s="388"/>
      <c r="C274" s="339"/>
      <c r="D274" s="339"/>
      <c r="E274" s="339"/>
      <c r="F274" s="388"/>
      <c r="G274" s="388"/>
      <c r="H274" s="388"/>
      <c r="I274" s="388"/>
      <c r="J274" s="388"/>
    </row>
    <row r="275" spans="1:10" ht="14.25">
      <c r="A275" s="388"/>
      <c r="B275" s="388"/>
      <c r="C275" s="339"/>
      <c r="D275" s="339"/>
      <c r="E275" s="339"/>
      <c r="F275" s="388"/>
      <c r="G275" s="388"/>
      <c r="H275" s="388"/>
      <c r="I275" s="388"/>
      <c r="J275" s="388"/>
    </row>
    <row r="276" spans="1:10" ht="14.25">
      <c r="A276" s="388"/>
      <c r="B276" s="388"/>
      <c r="C276" s="339"/>
      <c r="D276" s="339"/>
      <c r="E276" s="339"/>
      <c r="F276" s="388"/>
      <c r="G276" s="388"/>
      <c r="H276" s="388"/>
      <c r="I276" s="388"/>
      <c r="J276" s="388"/>
    </row>
    <row r="277" spans="1:10" ht="14.25">
      <c r="A277" s="388"/>
      <c r="B277" s="388"/>
      <c r="C277" s="339"/>
      <c r="D277" s="339"/>
      <c r="E277" s="339"/>
      <c r="F277" s="388"/>
      <c r="G277" s="388"/>
      <c r="H277" s="388"/>
      <c r="I277" s="388"/>
      <c r="J277" s="388"/>
    </row>
    <row r="278" spans="1:10" ht="14.25">
      <c r="A278" s="388"/>
      <c r="B278" s="388"/>
      <c r="C278" s="339"/>
      <c r="D278" s="339"/>
      <c r="E278" s="339"/>
      <c r="F278" s="388"/>
      <c r="G278" s="388"/>
      <c r="H278" s="388"/>
      <c r="I278" s="388"/>
      <c r="J278" s="388"/>
    </row>
    <row r="279" spans="1:10" ht="14.25">
      <c r="A279" s="388"/>
      <c r="B279" s="388"/>
      <c r="C279" s="339"/>
      <c r="D279" s="339"/>
      <c r="E279" s="339"/>
      <c r="F279" s="388"/>
      <c r="G279" s="388"/>
      <c r="H279" s="388"/>
      <c r="I279" s="388"/>
      <c r="J279" s="388"/>
    </row>
    <row r="280" spans="1:10" ht="14.25">
      <c r="A280" s="388"/>
      <c r="B280" s="388"/>
      <c r="C280" s="339"/>
      <c r="D280" s="339"/>
      <c r="E280" s="339"/>
      <c r="F280" s="388"/>
      <c r="G280" s="388"/>
      <c r="H280" s="388"/>
      <c r="I280" s="388"/>
      <c r="J280" s="388"/>
    </row>
    <row r="281" spans="1:10" ht="14.25">
      <c r="A281" s="388"/>
      <c r="B281" s="388"/>
      <c r="C281" s="339"/>
      <c r="D281" s="339"/>
      <c r="E281" s="339"/>
      <c r="F281" s="388"/>
      <c r="G281" s="388"/>
      <c r="H281" s="388"/>
      <c r="I281" s="388"/>
      <c r="J281" s="388"/>
    </row>
    <row r="282" spans="1:10" ht="14.25">
      <c r="A282" s="388"/>
      <c r="B282" s="388"/>
      <c r="C282" s="339"/>
      <c r="D282" s="339"/>
      <c r="E282" s="339"/>
      <c r="F282" s="388"/>
      <c r="G282" s="388"/>
      <c r="H282" s="388"/>
      <c r="I282" s="388"/>
      <c r="J282" s="388"/>
    </row>
    <row r="283" spans="1:10" ht="14.25">
      <c r="A283" s="388"/>
      <c r="B283" s="388"/>
      <c r="C283" s="339"/>
      <c r="D283" s="339"/>
      <c r="E283" s="339"/>
      <c r="F283" s="388"/>
      <c r="G283" s="388"/>
      <c r="H283" s="388"/>
      <c r="I283" s="388"/>
      <c r="J283" s="388"/>
    </row>
    <row r="284" spans="1:10" ht="14.25">
      <c r="A284" s="388"/>
      <c r="B284" s="388"/>
      <c r="C284" s="339"/>
      <c r="D284" s="339"/>
      <c r="E284" s="339"/>
      <c r="F284" s="388"/>
      <c r="G284" s="388"/>
      <c r="H284" s="388"/>
      <c r="I284" s="388"/>
      <c r="J284" s="388"/>
    </row>
    <row r="285" spans="1:10" ht="14.25">
      <c r="A285" s="388"/>
      <c r="B285" s="388"/>
      <c r="C285" s="339"/>
      <c r="D285" s="339"/>
      <c r="E285" s="339"/>
      <c r="F285" s="388"/>
      <c r="G285" s="388"/>
      <c r="H285" s="388"/>
      <c r="I285" s="388"/>
      <c r="J285" s="388"/>
    </row>
    <row r="286" spans="1:10" ht="14.25">
      <c r="A286" s="388"/>
      <c r="B286" s="388"/>
      <c r="C286" s="339"/>
      <c r="D286" s="339"/>
      <c r="E286" s="339"/>
      <c r="F286" s="388"/>
      <c r="G286" s="388"/>
      <c r="H286" s="388"/>
      <c r="I286" s="388"/>
      <c r="J286" s="388"/>
    </row>
    <row r="287" spans="1:10" ht="14.25">
      <c r="A287" s="388"/>
      <c r="B287" s="388"/>
      <c r="C287" s="339"/>
      <c r="D287" s="339"/>
      <c r="E287" s="339"/>
      <c r="F287" s="388"/>
      <c r="G287" s="388"/>
      <c r="H287" s="388"/>
      <c r="I287" s="388"/>
      <c r="J287" s="388"/>
    </row>
    <row r="288" spans="1:10" ht="14.25">
      <c r="A288" s="388"/>
      <c r="B288" s="388"/>
      <c r="C288" s="339"/>
      <c r="D288" s="339"/>
      <c r="E288" s="339"/>
      <c r="F288" s="388"/>
      <c r="G288" s="388"/>
      <c r="H288" s="388"/>
      <c r="I288" s="388"/>
      <c r="J288" s="388"/>
    </row>
    <row r="289" spans="1:10" ht="14.25">
      <c r="A289" s="388"/>
      <c r="B289" s="388"/>
      <c r="C289" s="339"/>
      <c r="D289" s="339"/>
      <c r="E289" s="339"/>
      <c r="F289" s="388"/>
      <c r="G289" s="388"/>
      <c r="H289" s="388"/>
      <c r="I289" s="388"/>
      <c r="J289" s="388"/>
    </row>
    <row r="290" spans="1:10" ht="14.25">
      <c r="A290" s="388"/>
      <c r="B290" s="388"/>
      <c r="C290" s="339"/>
      <c r="D290" s="339"/>
      <c r="E290" s="339"/>
      <c r="F290" s="388"/>
      <c r="G290" s="388"/>
      <c r="H290" s="388"/>
      <c r="I290" s="388"/>
      <c r="J290" s="388"/>
    </row>
    <row r="291" spans="1:10" ht="14.25">
      <c r="A291" s="388"/>
      <c r="B291" s="388"/>
      <c r="C291" s="339"/>
      <c r="D291" s="339"/>
      <c r="E291" s="339"/>
      <c r="F291" s="388"/>
      <c r="G291" s="388"/>
      <c r="H291" s="388"/>
      <c r="I291" s="388"/>
      <c r="J291" s="388"/>
    </row>
    <row r="292" spans="1:10" ht="14.25">
      <c r="A292" s="388"/>
      <c r="B292" s="388"/>
      <c r="C292" s="339"/>
      <c r="D292" s="339"/>
      <c r="E292" s="339"/>
      <c r="F292" s="388"/>
      <c r="G292" s="388"/>
      <c r="H292" s="388"/>
      <c r="I292" s="388"/>
      <c r="J292" s="388"/>
    </row>
    <row r="293" spans="1:10" ht="14.25">
      <c r="A293" s="388"/>
      <c r="B293" s="388"/>
      <c r="C293" s="339"/>
      <c r="D293" s="339"/>
      <c r="E293" s="339"/>
      <c r="F293" s="388"/>
      <c r="G293" s="388"/>
      <c r="H293" s="388"/>
      <c r="I293" s="388"/>
      <c r="J293" s="388"/>
    </row>
    <row r="294" spans="1:10" ht="14.25">
      <c r="A294" s="388"/>
      <c r="B294" s="388"/>
      <c r="C294" s="339"/>
      <c r="D294" s="339"/>
      <c r="E294" s="339"/>
      <c r="F294" s="388"/>
      <c r="G294" s="388"/>
      <c r="H294" s="388"/>
      <c r="I294" s="388"/>
      <c r="J294" s="388"/>
    </row>
    <row r="295" spans="1:10" ht="14.25">
      <c r="A295" s="388"/>
      <c r="B295" s="388"/>
      <c r="C295" s="339"/>
      <c r="D295" s="339"/>
      <c r="E295" s="339"/>
      <c r="F295" s="388"/>
      <c r="G295" s="388"/>
      <c r="H295" s="388"/>
      <c r="I295" s="388"/>
      <c r="J295" s="388"/>
    </row>
    <row r="296" spans="1:10" ht="14.25">
      <c r="A296" s="388"/>
      <c r="B296" s="388"/>
      <c r="C296" s="339"/>
      <c r="D296" s="339"/>
      <c r="E296" s="339"/>
      <c r="F296" s="388"/>
      <c r="G296" s="388"/>
      <c r="H296" s="388"/>
      <c r="I296" s="388"/>
      <c r="J296" s="388"/>
    </row>
    <row r="297" spans="1:10" ht="14.25">
      <c r="A297" s="388"/>
      <c r="B297" s="388"/>
      <c r="C297" s="339"/>
      <c r="D297" s="339"/>
      <c r="E297" s="339"/>
      <c r="F297" s="388"/>
      <c r="G297" s="388"/>
      <c r="H297" s="388"/>
      <c r="I297" s="388"/>
      <c r="J297" s="388"/>
    </row>
    <row r="298" spans="1:10" ht="14.25">
      <c r="A298" s="388"/>
      <c r="B298" s="388"/>
      <c r="C298" s="339"/>
      <c r="D298" s="339"/>
      <c r="E298" s="339"/>
      <c r="F298" s="388"/>
      <c r="G298" s="388"/>
      <c r="H298" s="388"/>
      <c r="I298" s="388"/>
      <c r="J298" s="388"/>
    </row>
    <row r="299" spans="1:10" ht="14.25">
      <c r="A299" s="388"/>
      <c r="B299" s="388"/>
      <c r="C299" s="339"/>
      <c r="D299" s="339"/>
      <c r="E299" s="339"/>
      <c r="F299" s="388"/>
      <c r="G299" s="388"/>
      <c r="H299" s="388"/>
      <c r="I299" s="388"/>
      <c r="J299" s="388"/>
    </row>
    <row r="300" spans="1:10" ht="14.25">
      <c r="A300" s="388"/>
      <c r="B300" s="388"/>
      <c r="C300" s="339"/>
      <c r="D300" s="339"/>
      <c r="E300" s="339"/>
      <c r="F300" s="388"/>
      <c r="G300" s="388"/>
      <c r="H300" s="388"/>
      <c r="I300" s="388"/>
      <c r="J300" s="388"/>
    </row>
    <row r="301" spans="1:10" ht="14.25">
      <c r="A301" s="388"/>
      <c r="B301" s="388"/>
      <c r="C301" s="339"/>
      <c r="D301" s="339"/>
      <c r="E301" s="339"/>
      <c r="F301" s="388"/>
      <c r="G301" s="388"/>
      <c r="H301" s="388"/>
      <c r="I301" s="388"/>
      <c r="J301" s="388"/>
    </row>
    <row r="302" spans="1:10" ht="14.25">
      <c r="A302" s="388"/>
      <c r="B302" s="388"/>
      <c r="C302" s="339"/>
      <c r="D302" s="339"/>
      <c r="E302" s="339"/>
      <c r="F302" s="388"/>
      <c r="G302" s="388"/>
      <c r="H302" s="388"/>
      <c r="I302" s="388"/>
      <c r="J302" s="388"/>
    </row>
    <row r="303" spans="1:10" ht="14.25">
      <c r="A303" s="388"/>
      <c r="B303" s="388"/>
      <c r="C303" s="339"/>
      <c r="D303" s="339"/>
      <c r="E303" s="339"/>
      <c r="F303" s="388"/>
      <c r="G303" s="388"/>
      <c r="H303" s="388"/>
      <c r="I303" s="388"/>
      <c r="J303" s="388"/>
    </row>
    <row r="304" spans="1:10" ht="14.25">
      <c r="A304" s="388"/>
      <c r="B304" s="388"/>
      <c r="C304" s="339"/>
      <c r="D304" s="339"/>
      <c r="E304" s="339"/>
      <c r="F304" s="388"/>
      <c r="G304" s="388"/>
      <c r="H304" s="388"/>
      <c r="I304" s="388"/>
      <c r="J304" s="388"/>
    </row>
    <row r="305" spans="1:10" ht="14.25">
      <c r="A305" s="388"/>
      <c r="B305" s="388"/>
      <c r="C305" s="339"/>
      <c r="D305" s="339"/>
      <c r="E305" s="339"/>
      <c r="F305" s="388"/>
      <c r="G305" s="388"/>
      <c r="H305" s="388"/>
      <c r="I305" s="388"/>
      <c r="J305" s="388"/>
    </row>
    <row r="306" spans="1:10" ht="14.25">
      <c r="A306" s="388"/>
      <c r="B306" s="388"/>
      <c r="C306" s="339"/>
      <c r="D306" s="339"/>
      <c r="E306" s="339"/>
      <c r="F306" s="388"/>
      <c r="G306" s="388"/>
      <c r="H306" s="388"/>
      <c r="I306" s="388"/>
      <c r="J306" s="388"/>
    </row>
    <row r="307" spans="1:10" ht="14.25">
      <c r="A307" s="388"/>
      <c r="B307" s="388"/>
      <c r="C307" s="339"/>
      <c r="D307" s="339"/>
      <c r="E307" s="339"/>
      <c r="F307" s="388"/>
      <c r="G307" s="388"/>
      <c r="H307" s="388"/>
      <c r="I307" s="388"/>
      <c r="J307" s="388"/>
    </row>
    <row r="308" spans="1:10" ht="14.25">
      <c r="A308" s="388"/>
      <c r="B308" s="388"/>
      <c r="C308" s="339"/>
      <c r="D308" s="339"/>
      <c r="E308" s="339"/>
      <c r="F308" s="388"/>
      <c r="G308" s="388"/>
      <c r="H308" s="388"/>
      <c r="I308" s="388"/>
      <c r="J308" s="388"/>
    </row>
    <row r="309" spans="1:10" ht="14.25">
      <c r="A309" s="388"/>
      <c r="B309" s="388"/>
      <c r="C309" s="339"/>
      <c r="D309" s="339"/>
      <c r="E309" s="339"/>
      <c r="F309" s="388"/>
      <c r="G309" s="388"/>
      <c r="H309" s="388"/>
      <c r="I309" s="388"/>
      <c r="J309" s="388"/>
    </row>
    <row r="310" spans="1:10" ht="14.25">
      <c r="A310" s="388"/>
      <c r="B310" s="388"/>
      <c r="C310" s="339"/>
      <c r="D310" s="339"/>
      <c r="E310" s="339"/>
      <c r="F310" s="388"/>
      <c r="G310" s="388"/>
      <c r="H310" s="388"/>
      <c r="I310" s="388"/>
      <c r="J310" s="388"/>
    </row>
    <row r="311" spans="1:10" ht="14.25">
      <c r="A311" s="388"/>
      <c r="B311" s="388"/>
      <c r="C311" s="339"/>
      <c r="D311" s="339"/>
      <c r="E311" s="339"/>
      <c r="F311" s="388"/>
      <c r="G311" s="388"/>
      <c r="H311" s="388"/>
      <c r="I311" s="388"/>
      <c r="J311" s="388"/>
    </row>
    <row r="312" spans="1:10" ht="14.25">
      <c r="A312" s="388"/>
      <c r="B312" s="388"/>
      <c r="C312" s="339"/>
      <c r="D312" s="339"/>
      <c r="E312" s="339"/>
      <c r="F312" s="388"/>
      <c r="G312" s="388"/>
      <c r="H312" s="388"/>
      <c r="I312" s="388"/>
      <c r="J312" s="388"/>
    </row>
    <row r="313" spans="1:10" ht="14.25">
      <c r="A313" s="388"/>
      <c r="B313" s="388"/>
      <c r="C313" s="339"/>
      <c r="D313" s="339"/>
      <c r="E313" s="339"/>
      <c r="F313" s="388"/>
      <c r="G313" s="388"/>
      <c r="H313" s="388"/>
      <c r="I313" s="388"/>
      <c r="J313" s="388"/>
    </row>
    <row r="314" spans="1:10" ht="14.25">
      <c r="A314" s="388"/>
      <c r="B314" s="388"/>
      <c r="C314" s="339"/>
      <c r="D314" s="339"/>
      <c r="E314" s="339"/>
      <c r="F314" s="388"/>
      <c r="G314" s="388"/>
      <c r="H314" s="388"/>
      <c r="I314" s="388"/>
      <c r="J314" s="388"/>
    </row>
    <row r="315" spans="1:10" ht="14.25">
      <c r="A315" s="388"/>
      <c r="B315" s="388"/>
      <c r="C315" s="339"/>
      <c r="D315" s="339"/>
      <c r="E315" s="339"/>
      <c r="F315" s="388"/>
      <c r="G315" s="388"/>
      <c r="H315" s="388"/>
      <c r="I315" s="388"/>
      <c r="J315" s="388"/>
    </row>
    <row r="316" spans="1:10" ht="14.25">
      <c r="A316" s="388"/>
      <c r="B316" s="388"/>
      <c r="C316" s="339"/>
      <c r="D316" s="339"/>
      <c r="E316" s="339"/>
      <c r="F316" s="388"/>
      <c r="G316" s="388"/>
      <c r="H316" s="388"/>
      <c r="I316" s="388"/>
      <c r="J316" s="388"/>
    </row>
    <row r="317" spans="1:10" ht="14.25">
      <c r="A317" s="388"/>
      <c r="B317" s="388"/>
      <c r="C317" s="339"/>
      <c r="D317" s="339"/>
      <c r="E317" s="339"/>
      <c r="F317" s="388"/>
      <c r="G317" s="388"/>
      <c r="H317" s="388"/>
      <c r="I317" s="388"/>
      <c r="J317" s="388"/>
    </row>
    <row r="318" spans="1:10" ht="14.25">
      <c r="A318" s="388"/>
      <c r="B318" s="388"/>
      <c r="C318" s="339"/>
      <c r="D318" s="339"/>
      <c r="E318" s="339"/>
      <c r="F318" s="388"/>
      <c r="G318" s="388"/>
      <c r="H318" s="388"/>
      <c r="I318" s="388"/>
      <c r="J318" s="388"/>
    </row>
    <row r="319" spans="1:10" ht="14.25">
      <c r="A319" s="388"/>
      <c r="B319" s="388"/>
      <c r="C319" s="339"/>
      <c r="D319" s="339"/>
      <c r="E319" s="339"/>
      <c r="F319" s="388"/>
      <c r="G319" s="388"/>
      <c r="H319" s="388"/>
      <c r="I319" s="388"/>
      <c r="J319" s="388"/>
    </row>
    <row r="320" spans="1:10" ht="14.25">
      <c r="A320" s="388"/>
      <c r="B320" s="388"/>
      <c r="C320" s="339"/>
      <c r="D320" s="339"/>
      <c r="E320" s="339"/>
      <c r="F320" s="388"/>
      <c r="G320" s="388"/>
      <c r="H320" s="388"/>
      <c r="I320" s="388"/>
      <c r="J320" s="388"/>
    </row>
    <row r="321" spans="1:10" ht="14.25">
      <c r="A321" s="388"/>
      <c r="B321" s="388"/>
      <c r="C321" s="339"/>
      <c r="D321" s="339"/>
      <c r="E321" s="339"/>
      <c r="F321" s="388"/>
      <c r="G321" s="388"/>
      <c r="H321" s="388"/>
      <c r="I321" s="388"/>
      <c r="J321" s="388"/>
    </row>
    <row r="322" spans="1:10" ht="14.25">
      <c r="A322" s="388"/>
      <c r="B322" s="388"/>
      <c r="C322" s="339"/>
      <c r="D322" s="339"/>
      <c r="E322" s="339"/>
      <c r="F322" s="388"/>
      <c r="G322" s="388"/>
      <c r="H322" s="388"/>
      <c r="I322" s="388"/>
      <c r="J322" s="388"/>
    </row>
    <row r="323" spans="1:10" ht="14.25">
      <c r="A323" s="388"/>
      <c r="B323" s="388"/>
      <c r="C323" s="339"/>
      <c r="D323" s="339"/>
      <c r="E323" s="339"/>
      <c r="F323" s="388"/>
      <c r="G323" s="388"/>
      <c r="H323" s="388"/>
      <c r="I323" s="388"/>
      <c r="J323" s="388"/>
    </row>
    <row r="324" spans="1:10" ht="14.25">
      <c r="A324" s="388"/>
      <c r="B324" s="388"/>
      <c r="C324" s="339"/>
      <c r="D324" s="339"/>
      <c r="E324" s="339"/>
      <c r="F324" s="388"/>
      <c r="G324" s="388"/>
      <c r="H324" s="388"/>
      <c r="I324" s="388"/>
      <c r="J324" s="388"/>
    </row>
    <row r="325" spans="1:10" ht="14.25">
      <c r="A325" s="388"/>
      <c r="B325" s="388"/>
      <c r="C325" s="339"/>
      <c r="D325" s="339"/>
      <c r="E325" s="339"/>
      <c r="F325" s="388"/>
      <c r="G325" s="388"/>
      <c r="H325" s="388"/>
      <c r="I325" s="388"/>
      <c r="J325" s="388"/>
    </row>
    <row r="326" spans="1:10" ht="14.25">
      <c r="A326" s="388"/>
      <c r="B326" s="388"/>
      <c r="C326" s="339"/>
      <c r="D326" s="339"/>
      <c r="E326" s="339"/>
      <c r="F326" s="388"/>
      <c r="G326" s="388"/>
      <c r="H326" s="388"/>
      <c r="I326" s="388"/>
      <c r="J326" s="388"/>
    </row>
    <row r="327" spans="1:10" ht="14.25">
      <c r="A327" s="388"/>
      <c r="B327" s="388"/>
      <c r="C327" s="339"/>
      <c r="D327" s="339"/>
      <c r="E327" s="339"/>
      <c r="F327" s="388"/>
      <c r="G327" s="388"/>
      <c r="H327" s="388"/>
      <c r="I327" s="388"/>
      <c r="J327" s="388"/>
    </row>
    <row r="328" spans="1:10" ht="14.25">
      <c r="A328" s="388"/>
      <c r="B328" s="388"/>
      <c r="C328" s="339"/>
      <c r="D328" s="339"/>
      <c r="E328" s="339"/>
      <c r="F328" s="388"/>
      <c r="G328" s="388"/>
      <c r="H328" s="388"/>
      <c r="I328" s="388"/>
      <c r="J328" s="388"/>
    </row>
    <row r="329" spans="1:10" ht="14.25">
      <c r="A329" s="388"/>
      <c r="B329" s="388"/>
      <c r="C329" s="339"/>
      <c r="D329" s="339"/>
      <c r="E329" s="339"/>
      <c r="F329" s="388"/>
      <c r="G329" s="388"/>
      <c r="H329" s="388"/>
      <c r="I329" s="388"/>
      <c r="J329" s="388"/>
    </row>
    <row r="330" spans="1:10" ht="14.25">
      <c r="A330" s="388"/>
      <c r="B330" s="388"/>
      <c r="C330" s="339"/>
      <c r="D330" s="339"/>
      <c r="E330" s="339"/>
      <c r="F330" s="388"/>
      <c r="G330" s="388"/>
      <c r="H330" s="388"/>
      <c r="I330" s="388"/>
      <c r="J330" s="388"/>
    </row>
    <row r="331" spans="1:10" ht="14.25">
      <c r="A331" s="388"/>
      <c r="B331" s="388"/>
      <c r="C331" s="339"/>
      <c r="D331" s="339"/>
      <c r="E331" s="339"/>
      <c r="F331" s="388"/>
      <c r="G331" s="388"/>
      <c r="H331" s="388"/>
      <c r="I331" s="388"/>
      <c r="J331" s="388"/>
    </row>
    <row r="332" spans="1:10" ht="14.25">
      <c r="A332" s="388"/>
      <c r="B332" s="388"/>
      <c r="C332" s="339"/>
      <c r="D332" s="339"/>
      <c r="E332" s="339"/>
      <c r="F332" s="388"/>
      <c r="G332" s="388"/>
      <c r="H332" s="388"/>
      <c r="I332" s="388"/>
      <c r="J332" s="388"/>
    </row>
    <row r="333" spans="1:10" ht="14.25">
      <c r="A333" s="388"/>
      <c r="B333" s="388"/>
      <c r="C333" s="339"/>
      <c r="D333" s="339"/>
      <c r="E333" s="339"/>
      <c r="F333" s="388"/>
      <c r="G333" s="388"/>
      <c r="H333" s="388"/>
      <c r="I333" s="388"/>
      <c r="J333" s="388"/>
    </row>
    <row r="334" spans="1:10" ht="14.25">
      <c r="A334" s="388"/>
      <c r="B334" s="388"/>
      <c r="C334" s="339"/>
      <c r="D334" s="339"/>
      <c r="E334" s="339"/>
      <c r="F334" s="388"/>
      <c r="G334" s="388"/>
      <c r="H334" s="388"/>
      <c r="I334" s="388"/>
      <c r="J334" s="388"/>
    </row>
    <row r="335" spans="1:10" ht="14.25">
      <c r="A335" s="388"/>
      <c r="B335" s="388"/>
      <c r="C335" s="339"/>
      <c r="D335" s="339"/>
      <c r="E335" s="339"/>
      <c r="F335" s="388"/>
      <c r="G335" s="388"/>
      <c r="H335" s="388"/>
      <c r="I335" s="388"/>
      <c r="J335" s="388"/>
    </row>
    <row r="336" spans="1:10" ht="14.25">
      <c r="A336" s="388"/>
      <c r="B336" s="388"/>
      <c r="C336" s="339"/>
      <c r="D336" s="339"/>
      <c r="E336" s="339"/>
      <c r="F336" s="388"/>
      <c r="G336" s="388"/>
      <c r="H336" s="388"/>
      <c r="I336" s="388"/>
      <c r="J336" s="388"/>
    </row>
    <row r="337" spans="1:10" ht="14.25">
      <c r="A337" s="388"/>
      <c r="B337" s="388"/>
      <c r="C337" s="339"/>
      <c r="D337" s="339"/>
      <c r="E337" s="339"/>
      <c r="F337" s="388"/>
      <c r="G337" s="388"/>
      <c r="H337" s="388"/>
      <c r="I337" s="388"/>
      <c r="J337" s="388"/>
    </row>
    <row r="338" spans="1:10" ht="14.25">
      <c r="A338" s="388"/>
      <c r="B338" s="388"/>
      <c r="C338" s="339"/>
      <c r="D338" s="339"/>
      <c r="E338" s="339"/>
      <c r="F338" s="388"/>
      <c r="G338" s="388"/>
      <c r="H338" s="388"/>
      <c r="I338" s="388"/>
      <c r="J338" s="388"/>
    </row>
    <row r="339" spans="1:10" ht="14.25">
      <c r="A339" s="388"/>
      <c r="B339" s="388"/>
      <c r="C339" s="339"/>
      <c r="D339" s="339"/>
      <c r="E339" s="339"/>
      <c r="F339" s="388"/>
      <c r="G339" s="388"/>
      <c r="H339" s="388"/>
      <c r="I339" s="388"/>
      <c r="J339" s="388"/>
    </row>
    <row r="340" spans="1:10" ht="14.25">
      <c r="A340" s="388"/>
      <c r="B340" s="388"/>
      <c r="C340" s="339"/>
      <c r="D340" s="339"/>
      <c r="E340" s="339"/>
      <c r="F340" s="388"/>
      <c r="G340" s="388"/>
      <c r="H340" s="388"/>
      <c r="I340" s="388"/>
      <c r="J340" s="388"/>
    </row>
    <row r="341" spans="1:10" ht="14.25">
      <c r="A341" s="388"/>
      <c r="B341" s="388"/>
      <c r="C341" s="339"/>
      <c r="D341" s="339"/>
      <c r="E341" s="339"/>
      <c r="F341" s="388"/>
      <c r="G341" s="388"/>
      <c r="H341" s="388"/>
      <c r="I341" s="388"/>
      <c r="J341" s="388"/>
    </row>
    <row r="342" spans="1:10" ht="14.25">
      <c r="A342" s="388"/>
      <c r="B342" s="388"/>
      <c r="C342" s="339"/>
      <c r="D342" s="339"/>
      <c r="E342" s="339"/>
      <c r="F342" s="388"/>
      <c r="G342" s="388"/>
      <c r="H342" s="388"/>
      <c r="I342" s="388"/>
      <c r="J342" s="388"/>
    </row>
    <row r="343" spans="1:10" ht="14.25">
      <c r="A343" s="388"/>
      <c r="B343" s="388"/>
      <c r="C343" s="339"/>
      <c r="D343" s="339"/>
      <c r="E343" s="339"/>
      <c r="F343" s="388"/>
      <c r="G343" s="388"/>
      <c r="H343" s="388"/>
      <c r="I343" s="388"/>
      <c r="J343" s="388"/>
    </row>
    <row r="344" spans="1:10" ht="14.25">
      <c r="A344" s="388"/>
      <c r="B344" s="388"/>
      <c r="C344" s="339"/>
      <c r="D344" s="339"/>
      <c r="E344" s="339"/>
      <c r="F344" s="388"/>
      <c r="G344" s="388"/>
      <c r="H344" s="388"/>
      <c r="I344" s="388"/>
      <c r="J344" s="388"/>
    </row>
    <row r="345" spans="1:10" ht="14.25">
      <c r="A345" s="388"/>
      <c r="B345" s="388"/>
      <c r="C345" s="339"/>
      <c r="D345" s="339"/>
      <c r="E345" s="339"/>
      <c r="F345" s="388"/>
      <c r="G345" s="388"/>
      <c r="H345" s="388"/>
      <c r="I345" s="388"/>
      <c r="J345" s="388"/>
    </row>
    <row r="346" spans="1:10" ht="14.25">
      <c r="A346" s="388"/>
      <c r="B346" s="388"/>
      <c r="C346" s="339"/>
      <c r="D346" s="339"/>
      <c r="E346" s="339"/>
      <c r="F346" s="388"/>
      <c r="G346" s="388"/>
      <c r="H346" s="388"/>
      <c r="I346" s="388"/>
      <c r="J346" s="388"/>
    </row>
    <row r="347" spans="1:10" ht="14.25">
      <c r="A347" s="388"/>
      <c r="B347" s="388"/>
      <c r="C347" s="339"/>
      <c r="D347" s="339"/>
      <c r="E347" s="339"/>
      <c r="F347" s="388"/>
      <c r="G347" s="388"/>
      <c r="H347" s="388"/>
      <c r="I347" s="388"/>
      <c r="J347" s="388"/>
    </row>
    <row r="348" spans="1:10" ht="14.25">
      <c r="A348" s="388"/>
      <c r="B348" s="388"/>
      <c r="C348" s="339"/>
      <c r="D348" s="339"/>
      <c r="E348" s="339"/>
      <c r="F348" s="388"/>
      <c r="G348" s="388"/>
      <c r="H348" s="388"/>
      <c r="I348" s="388"/>
      <c r="J348" s="388"/>
    </row>
    <row r="349" spans="1:10" ht="14.25">
      <c r="A349" s="388"/>
      <c r="B349" s="388"/>
      <c r="C349" s="339"/>
      <c r="D349" s="339"/>
      <c r="E349" s="339"/>
      <c r="F349" s="388"/>
      <c r="G349" s="388"/>
      <c r="H349" s="388"/>
      <c r="I349" s="388"/>
      <c r="J349" s="388"/>
    </row>
    <row r="350" spans="1:10" ht="14.25">
      <c r="A350" s="388"/>
      <c r="B350" s="388"/>
      <c r="C350" s="339"/>
      <c r="D350" s="339"/>
      <c r="E350" s="339"/>
      <c r="F350" s="388"/>
      <c r="G350" s="388"/>
      <c r="H350" s="388"/>
      <c r="I350" s="388"/>
      <c r="J350" s="388"/>
    </row>
    <row r="351" spans="1:10" ht="14.25">
      <c r="A351" s="388"/>
      <c r="B351" s="388"/>
      <c r="C351" s="339"/>
      <c r="D351" s="339"/>
      <c r="E351" s="339"/>
      <c r="F351" s="388"/>
      <c r="G351" s="388"/>
      <c r="H351" s="388"/>
      <c r="I351" s="388"/>
      <c r="J351" s="388"/>
    </row>
    <row r="352" spans="1:10" ht="14.25">
      <c r="A352" s="388"/>
      <c r="B352" s="388"/>
      <c r="C352" s="339"/>
      <c r="D352" s="339"/>
      <c r="E352" s="339"/>
      <c r="F352" s="388"/>
      <c r="G352" s="388"/>
      <c r="H352" s="388"/>
      <c r="I352" s="388"/>
      <c r="J352" s="388"/>
    </row>
    <row r="353" spans="1:10" ht="14.25">
      <c r="A353" s="388"/>
      <c r="B353" s="388"/>
      <c r="C353" s="339"/>
      <c r="D353" s="339"/>
      <c r="E353" s="339"/>
      <c r="F353" s="388"/>
      <c r="G353" s="388"/>
      <c r="H353" s="388"/>
      <c r="I353" s="388"/>
      <c r="J353" s="388"/>
    </row>
    <row r="354" spans="1:10" ht="14.25">
      <c r="A354" s="388"/>
      <c r="B354" s="388"/>
      <c r="C354" s="339"/>
      <c r="D354" s="339"/>
      <c r="E354" s="339"/>
      <c r="F354" s="388"/>
      <c r="G354" s="388"/>
      <c r="H354" s="388"/>
      <c r="I354" s="388"/>
      <c r="J354" s="388"/>
    </row>
    <row r="355" spans="1:10" ht="14.25">
      <c r="A355" s="388"/>
      <c r="B355" s="388"/>
      <c r="C355" s="339"/>
      <c r="D355" s="339"/>
      <c r="E355" s="339"/>
      <c r="F355" s="388"/>
      <c r="G355" s="388"/>
      <c r="H355" s="388"/>
      <c r="I355" s="388"/>
      <c r="J355" s="388"/>
    </row>
    <row r="356" spans="1:10" ht="14.25">
      <c r="A356" s="388"/>
      <c r="B356" s="388"/>
      <c r="C356" s="339"/>
      <c r="D356" s="339"/>
      <c r="E356" s="339"/>
      <c r="F356" s="388"/>
      <c r="G356" s="388"/>
      <c r="H356" s="388"/>
      <c r="I356" s="388"/>
      <c r="J356" s="388"/>
    </row>
    <row r="357" spans="1:10" ht="14.25">
      <c r="A357" s="388"/>
      <c r="B357" s="388"/>
      <c r="C357" s="339"/>
      <c r="D357" s="339"/>
      <c r="E357" s="339"/>
      <c r="F357" s="388"/>
      <c r="G357" s="388"/>
      <c r="H357" s="388"/>
      <c r="I357" s="388"/>
      <c r="J357" s="388"/>
    </row>
    <row r="358" spans="1:10" ht="14.25">
      <c r="A358" s="388"/>
      <c r="B358" s="388"/>
      <c r="C358" s="339"/>
      <c r="D358" s="339"/>
      <c r="E358" s="339"/>
      <c r="F358" s="388"/>
      <c r="G358" s="388"/>
      <c r="H358" s="388"/>
      <c r="I358" s="388"/>
      <c r="J358" s="388"/>
    </row>
    <row r="359" spans="1:10" ht="14.25">
      <c r="A359" s="388"/>
      <c r="B359" s="388"/>
      <c r="C359" s="339"/>
      <c r="D359" s="339"/>
      <c r="E359" s="339"/>
      <c r="F359" s="388"/>
      <c r="G359" s="388"/>
      <c r="H359" s="388"/>
      <c r="I359" s="388"/>
      <c r="J359" s="388"/>
    </row>
    <row r="360" spans="1:10" ht="14.25">
      <c r="A360" s="388"/>
      <c r="B360" s="388"/>
      <c r="C360" s="339"/>
      <c r="D360" s="339"/>
      <c r="E360" s="339"/>
      <c r="F360" s="388"/>
      <c r="G360" s="388"/>
      <c r="H360" s="388"/>
      <c r="I360" s="388"/>
      <c r="J360" s="388"/>
    </row>
    <row r="361" spans="1:10" ht="14.25">
      <c r="A361" s="388"/>
      <c r="B361" s="388"/>
      <c r="C361" s="339"/>
      <c r="D361" s="339"/>
      <c r="E361" s="339"/>
      <c r="F361" s="388"/>
      <c r="G361" s="388"/>
      <c r="H361" s="388"/>
      <c r="I361" s="388"/>
      <c r="J361" s="388"/>
    </row>
    <row r="362" spans="1:10" ht="14.25">
      <c r="A362" s="388"/>
      <c r="B362" s="388"/>
      <c r="C362" s="339"/>
      <c r="D362" s="339"/>
      <c r="E362" s="339"/>
      <c r="F362" s="388"/>
      <c r="G362" s="388"/>
      <c r="H362" s="388"/>
      <c r="I362" s="388"/>
      <c r="J362" s="388"/>
    </row>
    <row r="363" spans="1:10" ht="14.25">
      <c r="A363" s="388"/>
      <c r="B363" s="388"/>
      <c r="C363" s="339"/>
      <c r="D363" s="339"/>
      <c r="E363" s="339"/>
      <c r="F363" s="388"/>
      <c r="G363" s="388"/>
      <c r="H363" s="388"/>
      <c r="I363" s="388"/>
      <c r="J363" s="388"/>
    </row>
    <row r="364" spans="1:10" ht="14.25">
      <c r="A364" s="388"/>
      <c r="B364" s="388"/>
      <c r="C364" s="339"/>
      <c r="D364" s="339"/>
      <c r="E364" s="339"/>
      <c r="F364" s="388"/>
      <c r="G364" s="388"/>
      <c r="H364" s="388"/>
      <c r="I364" s="388"/>
      <c r="J364" s="388"/>
    </row>
    <row r="365" spans="1:10" ht="14.25">
      <c r="A365" s="388"/>
      <c r="B365" s="388"/>
      <c r="C365" s="339"/>
      <c r="D365" s="339"/>
      <c r="E365" s="339"/>
      <c r="F365" s="388"/>
      <c r="G365" s="388"/>
      <c r="H365" s="388"/>
      <c r="I365" s="388"/>
      <c r="J365" s="388"/>
    </row>
    <row r="366" spans="1:10" ht="14.25">
      <c r="A366" s="388"/>
      <c r="B366" s="388"/>
      <c r="C366" s="339"/>
      <c r="D366" s="339"/>
      <c r="E366" s="339"/>
      <c r="F366" s="388"/>
      <c r="G366" s="388"/>
      <c r="H366" s="388"/>
      <c r="I366" s="388"/>
      <c r="J366" s="388"/>
    </row>
    <row r="367" spans="1:10" ht="14.25">
      <c r="A367" s="388"/>
      <c r="B367" s="388"/>
      <c r="C367" s="339"/>
      <c r="D367" s="339"/>
      <c r="E367" s="339"/>
      <c r="F367" s="388"/>
      <c r="G367" s="388"/>
      <c r="H367" s="388"/>
      <c r="I367" s="388"/>
      <c r="J367" s="388"/>
    </row>
    <row r="368" spans="1:10" ht="14.25">
      <c r="A368" s="388"/>
      <c r="B368" s="388"/>
      <c r="C368" s="339"/>
      <c r="D368" s="339"/>
      <c r="E368" s="339"/>
      <c r="F368" s="388"/>
      <c r="G368" s="388"/>
      <c r="H368" s="388"/>
      <c r="I368" s="388"/>
      <c r="J368" s="388"/>
    </row>
    <row r="369" spans="1:10" ht="14.25">
      <c r="A369" s="388"/>
      <c r="B369" s="388"/>
      <c r="C369" s="339"/>
      <c r="D369" s="339"/>
      <c r="E369" s="339"/>
      <c r="F369" s="388"/>
      <c r="G369" s="388"/>
      <c r="H369" s="388"/>
      <c r="I369" s="388"/>
      <c r="J369" s="388"/>
    </row>
    <row r="370" spans="1:10" ht="14.25">
      <c r="A370" s="388"/>
      <c r="B370" s="388"/>
      <c r="C370" s="339"/>
      <c r="D370" s="339"/>
      <c r="E370" s="339"/>
      <c r="F370" s="388"/>
      <c r="G370" s="388"/>
      <c r="H370" s="388"/>
      <c r="I370" s="388"/>
      <c r="J370" s="388"/>
    </row>
    <row r="371" spans="1:10" ht="14.25">
      <c r="A371" s="388"/>
      <c r="B371" s="388"/>
      <c r="C371" s="339"/>
      <c r="D371" s="339"/>
      <c r="E371" s="339"/>
      <c r="F371" s="388"/>
      <c r="G371" s="388"/>
      <c r="H371" s="388"/>
      <c r="I371" s="388"/>
      <c r="J371" s="388"/>
    </row>
    <row r="372" spans="1:10" ht="14.25">
      <c r="A372" s="388"/>
      <c r="B372" s="388"/>
      <c r="C372" s="339"/>
      <c r="D372" s="339"/>
      <c r="E372" s="339"/>
      <c r="F372" s="388"/>
      <c r="G372" s="388"/>
      <c r="H372" s="388"/>
      <c r="I372" s="388"/>
      <c r="J372" s="388"/>
    </row>
    <row r="373" spans="1:10" ht="14.25">
      <c r="A373" s="388"/>
      <c r="B373" s="388"/>
      <c r="C373" s="339"/>
      <c r="D373" s="339"/>
      <c r="E373" s="339"/>
      <c r="F373" s="388"/>
      <c r="G373" s="388"/>
      <c r="H373" s="388"/>
      <c r="I373" s="388"/>
      <c r="J373" s="388"/>
    </row>
    <row r="374" spans="1:10" ht="14.25">
      <c r="A374" s="388"/>
      <c r="B374" s="388"/>
      <c r="C374" s="339"/>
      <c r="D374" s="339"/>
      <c r="E374" s="339"/>
      <c r="F374" s="388"/>
      <c r="G374" s="388"/>
      <c r="H374" s="388"/>
      <c r="I374" s="388"/>
      <c r="J374" s="388"/>
    </row>
    <row r="375" spans="1:10" ht="14.25">
      <c r="A375" s="388"/>
      <c r="B375" s="388"/>
      <c r="C375" s="339"/>
      <c r="D375" s="339"/>
      <c r="E375" s="339"/>
      <c r="F375" s="388"/>
      <c r="G375" s="388"/>
      <c r="H375" s="388"/>
      <c r="I375" s="388"/>
      <c r="J375" s="388"/>
    </row>
    <row r="376" spans="1:10" ht="14.25">
      <c r="A376" s="388"/>
      <c r="B376" s="388"/>
      <c r="C376" s="339"/>
      <c r="D376" s="339"/>
      <c r="E376" s="339"/>
      <c r="F376" s="388"/>
      <c r="G376" s="388"/>
      <c r="H376" s="388"/>
      <c r="I376" s="388"/>
      <c r="J376" s="388"/>
    </row>
    <row r="377" spans="1:10" ht="14.25">
      <c r="A377" s="388"/>
      <c r="B377" s="388"/>
      <c r="C377" s="339"/>
      <c r="D377" s="339"/>
      <c r="E377" s="339"/>
      <c r="F377" s="388"/>
      <c r="G377" s="388"/>
      <c r="H377" s="388"/>
      <c r="I377" s="388"/>
      <c r="J377" s="388"/>
    </row>
    <row r="378" spans="1:10" ht="14.25">
      <c r="A378" s="388"/>
      <c r="B378" s="388"/>
      <c r="C378" s="339"/>
      <c r="D378" s="339"/>
      <c r="E378" s="339"/>
      <c r="F378" s="388"/>
      <c r="G378" s="388"/>
      <c r="H378" s="388"/>
      <c r="I378" s="388"/>
      <c r="J378" s="388"/>
    </row>
    <row r="379" spans="1:10" ht="14.25">
      <c r="A379" s="388"/>
      <c r="B379" s="388"/>
      <c r="C379" s="339"/>
      <c r="D379" s="339"/>
      <c r="E379" s="339"/>
      <c r="F379" s="388"/>
      <c r="G379" s="388"/>
      <c r="H379" s="388"/>
      <c r="I379" s="388"/>
      <c r="J379" s="388"/>
    </row>
    <row r="380" spans="1:10" ht="14.25">
      <c r="A380" s="388"/>
      <c r="B380" s="388"/>
      <c r="C380" s="339"/>
      <c r="D380" s="339"/>
      <c r="E380" s="339"/>
      <c r="F380" s="388"/>
      <c r="G380" s="388"/>
      <c r="H380" s="388"/>
      <c r="I380" s="388"/>
      <c r="J380" s="388"/>
    </row>
    <row r="381" spans="1:10" ht="14.25">
      <c r="A381" s="388"/>
      <c r="B381" s="388"/>
      <c r="C381" s="339"/>
      <c r="D381" s="339"/>
      <c r="E381" s="339"/>
      <c r="F381" s="388"/>
      <c r="G381" s="388"/>
      <c r="H381" s="388"/>
      <c r="I381" s="388"/>
      <c r="J381" s="388"/>
    </row>
    <row r="382" spans="1:10" ht="14.25">
      <c r="A382" s="388"/>
      <c r="B382" s="388"/>
      <c r="C382" s="339"/>
      <c r="D382" s="339"/>
      <c r="E382" s="339"/>
      <c r="F382" s="388"/>
      <c r="G382" s="388"/>
      <c r="H382" s="388"/>
      <c r="I382" s="388"/>
      <c r="J382" s="388"/>
    </row>
    <row r="383" spans="1:10" ht="14.25">
      <c r="A383" s="388"/>
      <c r="B383" s="388"/>
      <c r="C383" s="339"/>
      <c r="D383" s="339"/>
      <c r="E383" s="339"/>
      <c r="F383" s="388"/>
      <c r="G383" s="388"/>
      <c r="H383" s="388"/>
      <c r="I383" s="388"/>
      <c r="J383" s="388"/>
    </row>
    <row r="384" spans="1:10" ht="14.25">
      <c r="A384" s="388"/>
      <c r="B384" s="388"/>
      <c r="C384" s="339"/>
      <c r="D384" s="339"/>
      <c r="E384" s="339"/>
      <c r="F384" s="388"/>
      <c r="G384" s="388"/>
      <c r="H384" s="388"/>
      <c r="I384" s="388"/>
      <c r="J384" s="388"/>
    </row>
    <row r="385" spans="1:10" ht="14.25">
      <c r="A385" s="388"/>
      <c r="B385" s="388"/>
      <c r="C385" s="339"/>
      <c r="D385" s="339"/>
      <c r="E385" s="339"/>
      <c r="F385" s="388"/>
      <c r="G385" s="388"/>
      <c r="H385" s="388"/>
      <c r="I385" s="388"/>
      <c r="J385" s="388"/>
    </row>
    <row r="386" spans="1:10" ht="14.25">
      <c r="A386" s="388"/>
      <c r="B386" s="388"/>
      <c r="C386" s="339"/>
      <c r="D386" s="339"/>
      <c r="E386" s="339"/>
      <c r="F386" s="388"/>
      <c r="G386" s="388"/>
      <c r="H386" s="388"/>
      <c r="I386" s="388"/>
      <c r="J386" s="388"/>
    </row>
    <row r="387" spans="1:10" ht="14.25">
      <c r="A387" s="388"/>
      <c r="B387" s="388"/>
      <c r="C387" s="339"/>
      <c r="D387" s="339"/>
      <c r="E387" s="339"/>
      <c r="F387" s="388"/>
      <c r="G387" s="388"/>
      <c r="H387" s="388"/>
      <c r="I387" s="388"/>
      <c r="J387" s="388"/>
    </row>
    <row r="388" spans="1:10" ht="14.25">
      <c r="A388" s="388"/>
      <c r="B388" s="388"/>
      <c r="C388" s="339"/>
      <c r="D388" s="339"/>
      <c r="E388" s="339"/>
      <c r="F388" s="388"/>
      <c r="G388" s="388"/>
      <c r="H388" s="388"/>
      <c r="I388" s="388"/>
      <c r="J388" s="388"/>
    </row>
    <row r="389" spans="1:10" ht="14.25">
      <c r="A389" s="388"/>
      <c r="B389" s="388"/>
      <c r="C389" s="339"/>
      <c r="D389" s="339"/>
      <c r="E389" s="339"/>
      <c r="F389" s="388"/>
      <c r="G389" s="388"/>
      <c r="H389" s="388"/>
      <c r="I389" s="388"/>
      <c r="J389" s="388"/>
    </row>
    <row r="390" spans="1:10" ht="14.25">
      <c r="A390" s="388"/>
      <c r="B390" s="388"/>
      <c r="C390" s="339"/>
      <c r="D390" s="339"/>
      <c r="E390" s="339"/>
      <c r="F390" s="388"/>
      <c r="G390" s="388"/>
      <c r="H390" s="388"/>
      <c r="I390" s="388"/>
      <c r="J390" s="388"/>
    </row>
    <row r="391" spans="1:10" ht="14.25">
      <c r="A391" s="388"/>
      <c r="B391" s="388"/>
      <c r="C391" s="339"/>
      <c r="D391" s="339"/>
      <c r="E391" s="339"/>
      <c r="F391" s="388"/>
      <c r="G391" s="388"/>
      <c r="H391" s="388"/>
      <c r="I391" s="388"/>
      <c r="J391" s="388"/>
    </row>
    <row r="392" spans="1:10" ht="14.25">
      <c r="A392" s="388"/>
      <c r="B392" s="388"/>
      <c r="C392" s="339"/>
      <c r="D392" s="339"/>
      <c r="E392" s="339"/>
      <c r="F392" s="388"/>
      <c r="G392" s="388"/>
      <c r="H392" s="388"/>
      <c r="I392" s="388"/>
      <c r="J392" s="388"/>
    </row>
    <row r="393" spans="1:10" ht="14.25">
      <c r="A393" s="388"/>
      <c r="B393" s="388"/>
      <c r="C393" s="339"/>
      <c r="D393" s="339"/>
      <c r="E393" s="339"/>
      <c r="F393" s="388"/>
      <c r="G393" s="388"/>
      <c r="H393" s="388"/>
      <c r="I393" s="388"/>
      <c r="J393" s="388"/>
    </row>
    <row r="394" spans="1:10" ht="14.25">
      <c r="A394" s="388"/>
      <c r="B394" s="388"/>
      <c r="C394" s="339"/>
      <c r="D394" s="339"/>
      <c r="E394" s="339"/>
      <c r="F394" s="388"/>
      <c r="G394" s="388"/>
      <c r="H394" s="388"/>
      <c r="I394" s="388"/>
      <c r="J394" s="388"/>
    </row>
    <row r="395" spans="1:10" ht="14.25">
      <c r="A395" s="388"/>
      <c r="B395" s="388"/>
      <c r="C395" s="339"/>
      <c r="D395" s="339"/>
      <c r="E395" s="339"/>
      <c r="F395" s="388"/>
      <c r="G395" s="388"/>
      <c r="H395" s="388"/>
      <c r="I395" s="388"/>
      <c r="J395" s="388"/>
    </row>
    <row r="396" spans="1:10" ht="14.25">
      <c r="A396" s="388"/>
      <c r="B396" s="388"/>
      <c r="C396" s="339"/>
      <c r="D396" s="339"/>
      <c r="E396" s="339"/>
      <c r="F396" s="388"/>
      <c r="G396" s="388"/>
      <c r="H396" s="388"/>
      <c r="I396" s="388"/>
      <c r="J396" s="388"/>
    </row>
    <row r="397" spans="1:10" ht="14.25">
      <c r="A397" s="388"/>
      <c r="B397" s="388"/>
      <c r="C397" s="339"/>
      <c r="D397" s="339"/>
      <c r="E397" s="339"/>
      <c r="F397" s="388"/>
      <c r="G397" s="388"/>
      <c r="H397" s="388"/>
      <c r="I397" s="388"/>
      <c r="J397" s="388"/>
    </row>
    <row r="398" spans="1:10" ht="14.25">
      <c r="A398" s="388"/>
      <c r="B398" s="388"/>
      <c r="C398" s="339"/>
      <c r="D398" s="339"/>
      <c r="E398" s="339"/>
      <c r="F398" s="388"/>
      <c r="G398" s="388"/>
      <c r="H398" s="388"/>
      <c r="I398" s="388"/>
      <c r="J398" s="388"/>
    </row>
    <row r="399" spans="1:10" ht="14.25">
      <c r="A399" s="388"/>
      <c r="B399" s="388"/>
      <c r="C399" s="339"/>
      <c r="D399" s="339"/>
      <c r="E399" s="339"/>
      <c r="F399" s="388"/>
      <c r="G399" s="388"/>
      <c r="H399" s="388"/>
      <c r="I399" s="388"/>
      <c r="J399" s="388"/>
    </row>
    <row r="400" spans="1:10" ht="14.25">
      <c r="A400" s="388"/>
      <c r="B400" s="388"/>
      <c r="C400" s="339"/>
      <c r="D400" s="339"/>
      <c r="E400" s="339"/>
      <c r="F400" s="388"/>
      <c r="G400" s="388"/>
      <c r="H400" s="388"/>
      <c r="I400" s="388"/>
      <c r="J400" s="388"/>
    </row>
    <row r="401" spans="1:10" ht="14.25">
      <c r="A401" s="388"/>
      <c r="B401" s="388"/>
      <c r="C401" s="339"/>
      <c r="D401" s="339"/>
      <c r="E401" s="339"/>
      <c r="F401" s="388"/>
      <c r="G401" s="388"/>
      <c r="H401" s="388"/>
      <c r="I401" s="388"/>
      <c r="J401" s="388"/>
    </row>
    <row r="402" spans="1:10" ht="14.25">
      <c r="A402" s="388"/>
      <c r="B402" s="388"/>
      <c r="C402" s="339"/>
      <c r="D402" s="339"/>
      <c r="E402" s="339"/>
      <c r="F402" s="388"/>
      <c r="G402" s="388"/>
      <c r="H402" s="388"/>
      <c r="I402" s="388"/>
      <c r="J402" s="388"/>
    </row>
    <row r="403" spans="1:10" ht="14.25">
      <c r="A403" s="388"/>
      <c r="B403" s="388"/>
      <c r="C403" s="339"/>
      <c r="D403" s="339"/>
      <c r="E403" s="339"/>
      <c r="F403" s="388"/>
      <c r="G403" s="388"/>
      <c r="H403" s="388"/>
      <c r="I403" s="388"/>
      <c r="J403" s="388"/>
    </row>
    <row r="404" spans="1:10" ht="14.25">
      <c r="A404" s="388"/>
      <c r="B404" s="388"/>
      <c r="C404" s="339"/>
      <c r="D404" s="339"/>
      <c r="E404" s="339"/>
      <c r="F404" s="388"/>
      <c r="G404" s="388"/>
      <c r="H404" s="388"/>
      <c r="I404" s="388"/>
      <c r="J404" s="388"/>
    </row>
    <row r="405" spans="1:10" ht="14.25">
      <c r="A405" s="388"/>
      <c r="B405" s="388"/>
      <c r="C405" s="339"/>
      <c r="D405" s="339"/>
      <c r="E405" s="339"/>
      <c r="F405" s="388"/>
      <c r="G405" s="388"/>
      <c r="H405" s="388"/>
      <c r="I405" s="388"/>
      <c r="J405" s="388"/>
    </row>
    <row r="406" spans="1:10" ht="14.25">
      <c r="A406" s="388"/>
      <c r="B406" s="388"/>
      <c r="C406" s="339"/>
      <c r="D406" s="339"/>
      <c r="E406" s="339"/>
      <c r="F406" s="388"/>
      <c r="G406" s="388"/>
      <c r="H406" s="388"/>
      <c r="I406" s="388"/>
      <c r="J406" s="388"/>
    </row>
    <row r="407" spans="1:10" ht="14.25">
      <c r="A407" s="388"/>
      <c r="B407" s="388"/>
      <c r="C407" s="339"/>
      <c r="D407" s="339"/>
      <c r="E407" s="339"/>
      <c r="F407" s="388"/>
      <c r="G407" s="388"/>
      <c r="H407" s="388"/>
      <c r="I407" s="388"/>
      <c r="J407" s="388"/>
    </row>
    <row r="408" spans="1:10" ht="14.25">
      <c r="A408" s="388"/>
      <c r="B408" s="388"/>
      <c r="C408" s="339"/>
      <c r="D408" s="339"/>
      <c r="E408" s="339"/>
      <c r="F408" s="388"/>
      <c r="G408" s="388"/>
      <c r="H408" s="388"/>
      <c r="I408" s="388"/>
      <c r="J408" s="388"/>
    </row>
    <row r="409" spans="1:10" ht="14.25">
      <c r="A409" s="388"/>
      <c r="B409" s="388"/>
      <c r="C409" s="339"/>
      <c r="D409" s="339"/>
      <c r="E409" s="339"/>
      <c r="F409" s="388"/>
      <c r="G409" s="388"/>
      <c r="H409" s="388"/>
      <c r="I409" s="388"/>
      <c r="J409" s="388"/>
    </row>
    <row r="410" spans="1:10" ht="14.25">
      <c r="A410" s="388"/>
      <c r="B410" s="388"/>
      <c r="C410" s="339"/>
      <c r="D410" s="339"/>
      <c r="E410" s="339"/>
      <c r="F410" s="388"/>
      <c r="G410" s="388"/>
      <c r="H410" s="388"/>
      <c r="I410" s="388"/>
      <c r="J410" s="388"/>
    </row>
    <row r="411" spans="1:10" ht="14.25">
      <c r="A411" s="388"/>
      <c r="B411" s="388"/>
      <c r="C411" s="339"/>
      <c r="D411" s="339"/>
      <c r="E411" s="339"/>
      <c r="F411" s="388"/>
      <c r="G411" s="388"/>
      <c r="H411" s="388"/>
      <c r="I411" s="388"/>
      <c r="J411" s="388"/>
    </row>
    <row r="412" spans="1:10" ht="14.25">
      <c r="A412" s="388"/>
      <c r="B412" s="388"/>
      <c r="C412" s="339"/>
      <c r="D412" s="339"/>
      <c r="E412" s="339"/>
      <c r="F412" s="388"/>
      <c r="G412" s="388"/>
      <c r="H412" s="388"/>
      <c r="I412" s="388"/>
      <c r="J412" s="388"/>
    </row>
    <row r="413" spans="1:10" ht="14.25">
      <c r="A413" s="388"/>
      <c r="B413" s="388"/>
      <c r="C413" s="339"/>
      <c r="D413" s="339"/>
      <c r="E413" s="339"/>
      <c r="F413" s="388"/>
      <c r="G413" s="388"/>
      <c r="H413" s="388"/>
      <c r="I413" s="388"/>
      <c r="J413" s="388"/>
    </row>
    <row r="414" spans="1:10" ht="14.25">
      <c r="A414" s="388"/>
      <c r="B414" s="388"/>
      <c r="C414" s="339"/>
      <c r="D414" s="339"/>
      <c r="E414" s="339"/>
      <c r="F414" s="388"/>
      <c r="G414" s="388"/>
      <c r="H414" s="388"/>
      <c r="I414" s="388"/>
      <c r="J414" s="388"/>
    </row>
    <row r="415" spans="1:10" ht="14.25">
      <c r="A415" s="388"/>
      <c r="B415" s="388"/>
      <c r="C415" s="339"/>
      <c r="D415" s="339"/>
      <c r="E415" s="339"/>
      <c r="F415" s="388"/>
      <c r="G415" s="388"/>
      <c r="H415" s="388"/>
      <c r="I415" s="388"/>
      <c r="J415" s="388"/>
    </row>
    <row r="416" spans="1:10" ht="14.25">
      <c r="A416" s="388"/>
      <c r="B416" s="388"/>
      <c r="C416" s="339"/>
      <c r="D416" s="339"/>
      <c r="E416" s="339"/>
      <c r="F416" s="388"/>
      <c r="G416" s="388"/>
      <c r="H416" s="388"/>
      <c r="I416" s="388"/>
      <c r="J416" s="388"/>
    </row>
    <row r="417" spans="1:10" ht="14.25">
      <c r="A417" s="388"/>
      <c r="B417" s="388"/>
      <c r="C417" s="339"/>
      <c r="D417" s="339"/>
      <c r="E417" s="339"/>
      <c r="F417" s="388"/>
      <c r="G417" s="388"/>
      <c r="H417" s="388"/>
      <c r="I417" s="388"/>
      <c r="J417" s="388"/>
    </row>
    <row r="418" spans="1:10" ht="14.25">
      <c r="A418" s="388"/>
      <c r="B418" s="388"/>
      <c r="C418" s="339"/>
      <c r="D418" s="339"/>
      <c r="E418" s="339"/>
      <c r="F418" s="388"/>
      <c r="G418" s="388"/>
      <c r="H418" s="388"/>
      <c r="I418" s="388"/>
      <c r="J418" s="388"/>
    </row>
    <row r="419" spans="1:10" ht="14.25">
      <c r="A419" s="388"/>
      <c r="B419" s="388"/>
      <c r="C419" s="339"/>
      <c r="D419" s="339"/>
      <c r="E419" s="339"/>
      <c r="F419" s="388"/>
      <c r="G419" s="388"/>
      <c r="H419" s="388"/>
      <c r="I419" s="388"/>
      <c r="J419" s="388"/>
    </row>
    <row r="420" spans="1:10" ht="14.25">
      <c r="A420" s="388"/>
      <c r="B420" s="388"/>
      <c r="C420" s="339"/>
      <c r="D420" s="339"/>
      <c r="E420" s="339"/>
      <c r="F420" s="388"/>
      <c r="G420" s="388"/>
      <c r="H420" s="388"/>
      <c r="I420" s="388"/>
      <c r="J420" s="388"/>
    </row>
    <row r="421" spans="1:10" ht="14.25">
      <c r="A421" s="388"/>
      <c r="B421" s="388"/>
      <c r="C421" s="339"/>
      <c r="D421" s="339"/>
      <c r="E421" s="339"/>
      <c r="F421" s="388"/>
      <c r="G421" s="388"/>
      <c r="H421" s="388"/>
      <c r="I421" s="388"/>
      <c r="J421" s="388"/>
    </row>
    <row r="422" spans="1:10" ht="14.25">
      <c r="A422" s="388"/>
      <c r="B422" s="388"/>
      <c r="C422" s="339"/>
      <c r="D422" s="339"/>
      <c r="E422" s="339"/>
      <c r="F422" s="388"/>
      <c r="G422" s="388"/>
      <c r="H422" s="388"/>
      <c r="I422" s="388"/>
      <c r="J422" s="388"/>
    </row>
    <row r="423" spans="1:10" ht="14.25">
      <c r="A423" s="388"/>
      <c r="B423" s="388"/>
      <c r="C423" s="339"/>
      <c r="D423" s="339"/>
      <c r="E423" s="339"/>
      <c r="F423" s="388"/>
      <c r="G423" s="388"/>
      <c r="H423" s="388"/>
      <c r="I423" s="388"/>
      <c r="J423" s="388"/>
    </row>
    <row r="424" spans="1:10" ht="14.25">
      <c r="A424" s="388"/>
      <c r="B424" s="388"/>
      <c r="C424" s="339"/>
      <c r="D424" s="339"/>
      <c r="E424" s="339"/>
      <c r="F424" s="388"/>
      <c r="G424" s="388"/>
      <c r="H424" s="388"/>
      <c r="I424" s="388"/>
      <c r="J424" s="388"/>
    </row>
    <row r="425" spans="1:10" ht="14.25">
      <c r="A425" s="388"/>
      <c r="B425" s="388"/>
      <c r="C425" s="339"/>
      <c r="D425" s="339"/>
      <c r="E425" s="339"/>
      <c r="F425" s="388"/>
      <c r="G425" s="388"/>
      <c r="H425" s="388"/>
      <c r="I425" s="388"/>
      <c r="J425" s="388"/>
    </row>
    <row r="426" spans="1:10" ht="14.25">
      <c r="A426" s="388"/>
      <c r="B426" s="388"/>
      <c r="C426" s="339"/>
      <c r="D426" s="339"/>
      <c r="E426" s="339"/>
      <c r="F426" s="388"/>
      <c r="G426" s="388"/>
      <c r="H426" s="388"/>
      <c r="I426" s="388"/>
      <c r="J426" s="388"/>
    </row>
    <row r="427" spans="1:10" ht="14.25">
      <c r="A427" s="388"/>
      <c r="B427" s="388"/>
      <c r="C427" s="339"/>
      <c r="D427" s="339"/>
      <c r="E427" s="339"/>
      <c r="F427" s="388"/>
      <c r="G427" s="388"/>
      <c r="H427" s="388"/>
      <c r="I427" s="388"/>
      <c r="J427" s="388"/>
    </row>
    <row r="428" spans="1:10" ht="14.25">
      <c r="A428" s="388"/>
      <c r="B428" s="388"/>
      <c r="C428" s="339"/>
      <c r="D428" s="339"/>
      <c r="E428" s="339"/>
      <c r="F428" s="388"/>
      <c r="G428" s="388"/>
      <c r="H428" s="388"/>
      <c r="I428" s="388"/>
      <c r="J428" s="388"/>
    </row>
    <row r="429" spans="1:10" ht="14.25">
      <c r="A429" s="388"/>
      <c r="B429" s="388"/>
      <c r="C429" s="339"/>
      <c r="D429" s="339"/>
      <c r="E429" s="339"/>
      <c r="F429" s="388"/>
      <c r="G429" s="388"/>
      <c r="H429" s="388"/>
      <c r="I429" s="388"/>
      <c r="J429" s="388"/>
    </row>
    <row r="430" spans="1:10" ht="14.25">
      <c r="A430" s="388"/>
      <c r="B430" s="388"/>
      <c r="C430" s="339"/>
      <c r="D430" s="339"/>
      <c r="E430" s="339"/>
      <c r="F430" s="388"/>
      <c r="G430" s="388"/>
      <c r="H430" s="388"/>
      <c r="I430" s="388"/>
      <c r="J430" s="388"/>
    </row>
    <row r="431" spans="1:10" ht="14.25">
      <c r="A431" s="388"/>
      <c r="B431" s="388"/>
      <c r="C431" s="339"/>
      <c r="D431" s="339"/>
      <c r="E431" s="339"/>
      <c r="F431" s="388"/>
      <c r="G431" s="388"/>
      <c r="H431" s="388"/>
      <c r="I431" s="388"/>
      <c r="J431" s="388"/>
    </row>
    <row r="432" spans="1:10" ht="14.25">
      <c r="A432" s="388"/>
      <c r="B432" s="388"/>
      <c r="C432" s="339"/>
      <c r="D432" s="339"/>
      <c r="E432" s="339"/>
      <c r="F432" s="388"/>
      <c r="G432" s="388"/>
      <c r="H432" s="388"/>
      <c r="I432" s="388"/>
      <c r="J432" s="388"/>
    </row>
    <row r="433" spans="1:10" ht="14.25">
      <c r="A433" s="388"/>
      <c r="B433" s="388"/>
      <c r="C433" s="339"/>
      <c r="D433" s="339"/>
      <c r="E433" s="339"/>
      <c r="F433" s="388"/>
      <c r="G433" s="388"/>
      <c r="H433" s="388"/>
      <c r="I433" s="388"/>
      <c r="J433" s="3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OVTES-palkanlaskentaohjelma 1.7.2014 lukien</dc:title>
  <dc:subject/>
  <dc:creator>Kunnallinen työmarkkinalaitos</dc:creator>
  <cp:keywords/>
  <dc:description/>
  <cp:lastModifiedBy>Paakkonen Niina</cp:lastModifiedBy>
  <cp:lastPrinted>2008-05-12T08:11:22Z</cp:lastPrinted>
  <dcterms:created xsi:type="dcterms:W3CDTF">2000-02-01T07:49:18Z</dcterms:created>
  <dcterms:modified xsi:type="dcterms:W3CDTF">2020-07-08T03:40:07Z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2Description">
    <vt:lpwstr>Helppokäyttöinen Excel-ohjelma opettajien palkanlaskennan perustilanteisiin. 
Se sisältää kaikki OVTES 2014–2016:n hinnoittelutunnukset.</vt:lpwstr>
  </property>
  <property fmtid="{D5CDD505-2E9C-101B-9397-08002B2CF9AE}" pid="3" name="KN2Keywords">
    <vt:lpwstr/>
  </property>
  <property fmtid="{D5CDD505-2E9C-101B-9397-08002B2CF9AE}" pid="4" name="Theme">
    <vt:lpwstr/>
  </property>
  <property fmtid="{D5CDD505-2E9C-101B-9397-08002B2CF9AE}" pid="5" name="KN2KeywordsTaxHTField0">
    <vt:lpwstr/>
  </property>
  <property fmtid="{D5CDD505-2E9C-101B-9397-08002B2CF9AE}" pid="6" name="ThemeTaxHTField0">
    <vt:lpwstr/>
  </property>
  <property fmtid="{D5CDD505-2E9C-101B-9397-08002B2CF9AE}" pid="7" name="TaxCatchAll">
    <vt:lpwstr/>
  </property>
  <property fmtid="{D5CDD505-2E9C-101B-9397-08002B2CF9AE}" pid="8" name="_dlc_DocId">
    <vt:lpwstr>E6NQPWJF6HVP-608-18</vt:lpwstr>
  </property>
  <property fmtid="{D5CDD505-2E9C-101B-9397-08002B2CF9AE}" pid="9" name="_dlc_DocIdItemGuid">
    <vt:lpwstr>fff5ef75-344f-465a-aa93-2725f90f380b</vt:lpwstr>
  </property>
  <property fmtid="{D5CDD505-2E9C-101B-9397-08002B2CF9AE}" pid="10" name="_dlc_DocIdUrl">
    <vt:lpwstr>http://kt.kl-spfarm1/fi/sopimukset/opettajat/palkat-ja-palkkiot/_layouts/DocIdRedir.aspx?ID=E6NQPWJF6HVP-608-18, E6NQPWJF6HVP-608-18</vt:lpwstr>
  </property>
  <property fmtid="{D5CDD505-2E9C-101B-9397-08002B2CF9AE}" pid="11" name="ContentTypeId">
    <vt:lpwstr>0x010100994F2374B000534B91BAC5AB949DD998</vt:lpwstr>
  </property>
</Properties>
</file>